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Q:\City of Sidney\0115012A.00 - SHE-SPRUC-0227Bridge PID114201\114201\400-Engineering\Structures\SFN_0000000\EngData\geometry\"/>
    </mc:Choice>
  </mc:AlternateContent>
  <xr:revisionPtr revIDLastSave="0" documentId="13_ncr:1_{B121FB88-283E-4A13-B23E-DB00C2F1D905}" xr6:coauthVersionLast="47" xr6:coauthVersionMax="47" xr10:uidLastSave="{00000000-0000-0000-0000-000000000000}"/>
  <bookViews>
    <workbookView xWindow="-120" yWindow="-120" windowWidth="19440" windowHeight="15000" tabRatio="861" firstSheet="2" activeTab="2" xr2:uid="{00000000-000D-0000-FFFF-FFFF00000000}"/>
  </bookViews>
  <sheets>
    <sheet name="deflection summary" sheetId="16" r:id="rId1"/>
    <sheet name="Defl and Camber Table" sheetId="23" r:id="rId2"/>
    <sheet name="defl and camber autotable" sheetId="25" r:id="rId3"/>
    <sheet name="Final Deck autoTable" sheetId="19" r:id="rId4"/>
    <sheet name="Final Deck Calc" sheetId="4" r:id="rId5"/>
    <sheet name="Seats and Variable HP" sheetId="24" r:id="rId6"/>
    <sheet name="Top of Haunch Table" sheetId="22" r:id="rId7"/>
    <sheet name="Screed Table" sheetId="20" r:id="rId8"/>
  </sheets>
  <definedNames>
    <definedName name="_xlnm.Print_Area" localSheetId="1">'Defl and Camber Table'!#REF!</definedName>
    <definedName name="_xlnm.Print_Area" localSheetId="3">'Final Deck autoTable'!$D$2:$N$52</definedName>
    <definedName name="_xlnm.Print_Area" localSheetId="4">'Final Deck Calc'!$A$64:$P$111</definedName>
    <definedName name="_xlnm.Print_Area" localSheetId="7">'Screed Table'!$D$2:$N$56</definedName>
    <definedName name="_xlnm.Print_Area" localSheetId="6">'Top of Haunch Table'!$E$2:$M$54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6" l="1"/>
  <c r="G7" i="16"/>
  <c r="G35" i="24"/>
  <c r="I32" i="24"/>
  <c r="H115" i="4" l="1"/>
  <c r="AJ7" i="24"/>
  <c r="AL7" i="24"/>
  <c r="AK7" i="24"/>
  <c r="AI7" i="24"/>
  <c r="AH7" i="24"/>
  <c r="AL6" i="24"/>
  <c r="AK6" i="24"/>
  <c r="AJ6" i="24"/>
  <c r="AI6" i="24"/>
  <c r="AH6" i="24"/>
  <c r="O5" i="22" l="1"/>
  <c r="R4" i="24"/>
  <c r="J61" i="24"/>
  <c r="M62" i="24" l="1"/>
  <c r="K62" i="24"/>
  <c r="J62" i="24"/>
  <c r="I62" i="24"/>
  <c r="G62" i="24"/>
  <c r="M60" i="24"/>
  <c r="K60" i="24"/>
  <c r="J60" i="24"/>
  <c r="I60" i="24"/>
  <c r="G60" i="24"/>
  <c r="M59" i="24"/>
  <c r="K59" i="24"/>
  <c r="J59" i="24"/>
  <c r="I59" i="24"/>
  <c r="G59" i="24"/>
  <c r="M57" i="24"/>
  <c r="K57" i="24"/>
  <c r="J57" i="24"/>
  <c r="I57" i="24"/>
  <c r="G57" i="24"/>
  <c r="M49" i="24"/>
  <c r="K49" i="24"/>
  <c r="J49" i="24"/>
  <c r="I49" i="24"/>
  <c r="G49" i="24"/>
  <c r="M47" i="24"/>
  <c r="K47" i="24"/>
  <c r="J47" i="24"/>
  <c r="I47" i="24"/>
  <c r="G47" i="24"/>
  <c r="M46" i="24"/>
  <c r="K46" i="24"/>
  <c r="J46" i="24"/>
  <c r="I46" i="24"/>
  <c r="G46" i="24"/>
  <c r="M44" i="24"/>
  <c r="K44" i="24"/>
  <c r="J44" i="24"/>
  <c r="I44" i="24"/>
  <c r="G44" i="24"/>
  <c r="J73" i="24" l="1"/>
  <c r="G45" i="24" l="1"/>
  <c r="V27" i="24"/>
  <c r="Q27" i="24"/>
  <c r="M61" i="24" l="1"/>
  <c r="K61" i="24"/>
  <c r="I61" i="24"/>
  <c r="G61" i="24"/>
  <c r="M58" i="24"/>
  <c r="K58" i="24"/>
  <c r="J58" i="24"/>
  <c r="I58" i="24"/>
  <c r="G58" i="24"/>
  <c r="M48" i="24" l="1"/>
  <c r="K48" i="24"/>
  <c r="J48" i="24"/>
  <c r="I48" i="24"/>
  <c r="G48" i="24"/>
  <c r="M45" i="24"/>
  <c r="K45" i="24"/>
  <c r="J45" i="24"/>
  <c r="I45" i="24"/>
  <c r="AA27" i="24" l="1"/>
  <c r="X14" i="25" l="1"/>
  <c r="W14" i="25"/>
  <c r="U14" i="25"/>
  <c r="T14" i="25"/>
  <c r="S14" i="25"/>
  <c r="J14" i="25"/>
  <c r="I14" i="25"/>
  <c r="G14" i="25"/>
  <c r="F14" i="25"/>
  <c r="E14" i="25"/>
  <c r="C14" i="25"/>
  <c r="B14" i="25"/>
  <c r="X13" i="25"/>
  <c r="W13" i="25"/>
  <c r="V13" i="25"/>
  <c r="U13" i="25"/>
  <c r="T13" i="25"/>
  <c r="S13" i="25"/>
  <c r="R13" i="25"/>
  <c r="Q13" i="25"/>
  <c r="P13" i="25"/>
  <c r="O13" i="25"/>
  <c r="N13" i="25"/>
  <c r="M13" i="25"/>
  <c r="L13" i="25"/>
  <c r="K13" i="25"/>
  <c r="J13" i="25"/>
  <c r="I13" i="25"/>
  <c r="H13" i="25"/>
  <c r="G13" i="25"/>
  <c r="F13" i="25"/>
  <c r="E13" i="25"/>
  <c r="D13" i="25"/>
  <c r="C13" i="25"/>
  <c r="B13" i="25"/>
  <c r="X5" i="25"/>
  <c r="T5" i="25"/>
  <c r="S5" i="25"/>
  <c r="L5" i="25"/>
  <c r="J5" i="25"/>
  <c r="I5" i="25"/>
  <c r="H5" i="25"/>
  <c r="G5" i="25"/>
  <c r="F5" i="25"/>
  <c r="E5" i="25"/>
  <c r="D5" i="25"/>
  <c r="C5" i="25"/>
  <c r="B5" i="25"/>
  <c r="X4" i="25"/>
  <c r="W4" i="25"/>
  <c r="V4" i="25"/>
  <c r="U4" i="25"/>
  <c r="T4" i="25"/>
  <c r="S4" i="25"/>
  <c r="R4" i="25"/>
  <c r="Q4" i="25"/>
  <c r="P4" i="25"/>
  <c r="O4" i="25"/>
  <c r="N4" i="25"/>
  <c r="M4" i="25"/>
  <c r="L4" i="25"/>
  <c r="K4" i="25"/>
  <c r="J4" i="25"/>
  <c r="I4" i="25"/>
  <c r="H4" i="25"/>
  <c r="G4" i="25"/>
  <c r="F4" i="25"/>
  <c r="E4" i="25"/>
  <c r="D4" i="25"/>
  <c r="C4" i="25"/>
  <c r="B4" i="25"/>
  <c r="B5" i="23"/>
  <c r="X14" i="23"/>
  <c r="W14" i="23"/>
  <c r="U14" i="23"/>
  <c r="T14" i="23"/>
  <c r="S14" i="23"/>
  <c r="R14" i="23"/>
  <c r="R14" i="25" s="1"/>
  <c r="Q14" i="23"/>
  <c r="Q14" i="25" s="1"/>
  <c r="P14" i="23"/>
  <c r="P14" i="25" s="1"/>
  <c r="N14" i="23"/>
  <c r="N14" i="25" s="1"/>
  <c r="M14" i="23"/>
  <c r="M14" i="25" s="1"/>
  <c r="L14" i="23"/>
  <c r="L14" i="25" s="1"/>
  <c r="K14" i="23"/>
  <c r="K14" i="25" s="1"/>
  <c r="J14" i="23"/>
  <c r="I14" i="23"/>
  <c r="H14" i="23"/>
  <c r="H14" i="25" s="1"/>
  <c r="G14" i="23"/>
  <c r="F14" i="23"/>
  <c r="E14" i="23"/>
  <c r="D14" i="23"/>
  <c r="D14" i="25" s="1"/>
  <c r="C14" i="23"/>
  <c r="B14" i="23"/>
  <c r="X13" i="23"/>
  <c r="W13" i="23"/>
  <c r="V13" i="23"/>
  <c r="U13" i="23"/>
  <c r="T13" i="23"/>
  <c r="S13" i="23"/>
  <c r="R13" i="23"/>
  <c r="Q13" i="23"/>
  <c r="P13" i="23"/>
  <c r="O13" i="23"/>
  <c r="N13" i="23"/>
  <c r="M13" i="23"/>
  <c r="L13" i="23"/>
  <c r="K13" i="23"/>
  <c r="J13" i="23"/>
  <c r="I13" i="23"/>
  <c r="H13" i="23"/>
  <c r="G13" i="23"/>
  <c r="F13" i="23"/>
  <c r="E13" i="23"/>
  <c r="D13" i="23"/>
  <c r="C13" i="23"/>
  <c r="B13" i="23"/>
  <c r="X5" i="23"/>
  <c r="V5" i="23"/>
  <c r="V5" i="25" s="1"/>
  <c r="T5" i="23"/>
  <c r="S5" i="23"/>
  <c r="R5" i="23"/>
  <c r="R5" i="25" s="1"/>
  <c r="Q5" i="23"/>
  <c r="Q5" i="25" s="1"/>
  <c r="P5" i="23"/>
  <c r="P5" i="25" s="1"/>
  <c r="N5" i="23"/>
  <c r="N5" i="25" s="1"/>
  <c r="M5" i="23"/>
  <c r="M5" i="25" s="1"/>
  <c r="L5" i="23"/>
  <c r="J5" i="23"/>
  <c r="I5" i="23"/>
  <c r="H5" i="23"/>
  <c r="G5" i="23"/>
  <c r="F5" i="23"/>
  <c r="E5" i="23"/>
  <c r="D5" i="23"/>
  <c r="C5" i="23"/>
  <c r="X4" i="23"/>
  <c r="W4" i="23"/>
  <c r="V4" i="23"/>
  <c r="U4" i="23"/>
  <c r="T4" i="23"/>
  <c r="S4" i="23"/>
  <c r="R4" i="23"/>
  <c r="Q4" i="23"/>
  <c r="P4" i="23"/>
  <c r="O4" i="23"/>
  <c r="N4" i="23"/>
  <c r="M4" i="23"/>
  <c r="L4" i="23"/>
  <c r="K4" i="23"/>
  <c r="J4" i="23"/>
  <c r="I4" i="23"/>
  <c r="H4" i="23"/>
  <c r="G4" i="23"/>
  <c r="F4" i="23"/>
  <c r="E4" i="23"/>
  <c r="D4" i="23"/>
  <c r="C4" i="23"/>
  <c r="B4" i="23"/>
  <c r="K5" i="16"/>
  <c r="E11" i="16"/>
  <c r="E47" i="16" s="1"/>
  <c r="G43" i="16"/>
  <c r="U5" i="23" s="1"/>
  <c r="U5" i="25" s="1"/>
  <c r="E7" i="16"/>
  <c r="F7" i="16"/>
  <c r="K7" i="16" s="1"/>
  <c r="H7" i="16"/>
  <c r="C11" i="16"/>
  <c r="C7" i="16"/>
  <c r="H11" i="16"/>
  <c r="H47" i="16" s="1"/>
  <c r="H49" i="16"/>
  <c r="G49" i="16"/>
  <c r="F49" i="16"/>
  <c r="E49" i="16"/>
  <c r="D49" i="16"/>
  <c r="C49" i="16"/>
  <c r="G47" i="16"/>
  <c r="W5" i="23" s="1"/>
  <c r="W5" i="25" s="1"/>
  <c r="F47" i="16"/>
  <c r="D47" i="16"/>
  <c r="C47" i="16"/>
  <c r="H45" i="16"/>
  <c r="V14" i="23" s="1"/>
  <c r="V14" i="25" s="1"/>
  <c r="G45" i="16"/>
  <c r="F45" i="16"/>
  <c r="E45" i="16"/>
  <c r="D45" i="16"/>
  <c r="C45" i="16"/>
  <c r="H43" i="16"/>
  <c r="E43" i="16"/>
  <c r="D43" i="16"/>
  <c r="C43" i="16"/>
  <c r="H41" i="16"/>
  <c r="G41" i="16"/>
  <c r="F41" i="16"/>
  <c r="E41" i="16"/>
  <c r="D41" i="16"/>
  <c r="C41" i="16"/>
  <c r="K9" i="16"/>
  <c r="K11" i="16"/>
  <c r="K13" i="16"/>
  <c r="J13" i="16"/>
  <c r="J5" i="16"/>
  <c r="J9" i="16"/>
  <c r="K15" i="16"/>
  <c r="F11" i="16"/>
  <c r="D11" i="16"/>
  <c r="D7" i="16"/>
  <c r="N39" i="16"/>
  <c r="N37" i="16"/>
  <c r="N25" i="16"/>
  <c r="H31" i="16"/>
  <c r="K31" i="16" s="1"/>
  <c r="G31" i="16"/>
  <c r="J31" i="16" s="1"/>
  <c r="F31" i="16"/>
  <c r="E31" i="16"/>
  <c r="D31" i="16"/>
  <c r="C31" i="16"/>
  <c r="H23" i="16"/>
  <c r="K23" i="16" s="1"/>
  <c r="G23" i="16"/>
  <c r="K5" i="23" s="1"/>
  <c r="K5" i="25" s="1"/>
  <c r="F23" i="16"/>
  <c r="E23" i="16"/>
  <c r="D23" i="16"/>
  <c r="C23" i="16"/>
  <c r="K39" i="16"/>
  <c r="K37" i="16"/>
  <c r="K35" i="16"/>
  <c r="K33" i="16"/>
  <c r="K29" i="16"/>
  <c r="N29" i="16" s="1"/>
  <c r="K27" i="16"/>
  <c r="K25" i="16"/>
  <c r="K21" i="16"/>
  <c r="K19" i="16"/>
  <c r="N19" i="16" s="1"/>
  <c r="K17" i="16"/>
  <c r="J39" i="16"/>
  <c r="J37" i="16"/>
  <c r="J35" i="16"/>
  <c r="N35" i="16" s="1"/>
  <c r="J33" i="16"/>
  <c r="J29" i="16"/>
  <c r="J27" i="16"/>
  <c r="N27" i="16" s="1"/>
  <c r="J25" i="16"/>
  <c r="J21" i="16"/>
  <c r="J19" i="16"/>
  <c r="J17" i="16"/>
  <c r="J15" i="16"/>
  <c r="N3" i="19"/>
  <c r="M3" i="19"/>
  <c r="L3" i="19"/>
  <c r="K3" i="19"/>
  <c r="J3" i="19"/>
  <c r="I3" i="19"/>
  <c r="H3" i="19"/>
  <c r="G3" i="19"/>
  <c r="F3" i="19"/>
  <c r="C110" i="4"/>
  <c r="C108" i="4"/>
  <c r="C106" i="4"/>
  <c r="C104" i="4"/>
  <c r="C102" i="4"/>
  <c r="C74" i="4"/>
  <c r="C72" i="4"/>
  <c r="C70" i="4"/>
  <c r="C68" i="4"/>
  <c r="C66" i="4"/>
  <c r="N33" i="16" l="1"/>
  <c r="N31" i="16"/>
  <c r="O5" i="23"/>
  <c r="O5" i="25" s="1"/>
  <c r="J23" i="16"/>
  <c r="N21" i="16"/>
  <c r="N23" i="16"/>
  <c r="N17" i="16"/>
  <c r="O14" i="23"/>
  <c r="O14" i="25" s="1"/>
  <c r="J11" i="16"/>
  <c r="J7" i="16"/>
  <c r="F43" i="16"/>
  <c r="K60" i="4"/>
  <c r="L60" i="4" s="1"/>
  <c r="K58" i="4"/>
  <c r="L58" i="4" s="1"/>
  <c r="K56" i="4"/>
  <c r="L56" i="4" s="1"/>
  <c r="K54" i="4"/>
  <c r="I60" i="4"/>
  <c r="H60" i="4" s="1"/>
  <c r="I58" i="4"/>
  <c r="H58" i="4" s="1"/>
  <c r="I56" i="4"/>
  <c r="H56" i="4" s="1"/>
  <c r="I54" i="4"/>
  <c r="N40" i="4"/>
  <c r="M40" i="4"/>
  <c r="M12" i="24" s="1"/>
  <c r="L40" i="4"/>
  <c r="K40" i="4"/>
  <c r="K12" i="24" s="1"/>
  <c r="J40" i="4"/>
  <c r="J12" i="24" s="1"/>
  <c r="I40" i="4"/>
  <c r="I12" i="24" s="1"/>
  <c r="H40" i="4"/>
  <c r="G40" i="4"/>
  <c r="G12" i="24" s="1"/>
  <c r="F40" i="4"/>
  <c r="N4" i="4"/>
  <c r="M4" i="4"/>
  <c r="M4" i="24" s="1"/>
  <c r="L4" i="4"/>
  <c r="K4" i="4"/>
  <c r="K4" i="24" s="1"/>
  <c r="J4" i="4"/>
  <c r="J4" i="24" s="1"/>
  <c r="I4" i="4"/>
  <c r="I4" i="24" s="1"/>
  <c r="H4" i="4"/>
  <c r="G4" i="4"/>
  <c r="G4" i="24" s="1"/>
  <c r="F4" i="4"/>
  <c r="D12" i="4"/>
  <c r="D10" i="4"/>
  <c r="N10" i="4" s="1"/>
  <c r="D8" i="4"/>
  <c r="J8" i="4" s="1"/>
  <c r="D6" i="4"/>
  <c r="G6" i="4" s="1"/>
  <c r="D48" i="4"/>
  <c r="H48" i="4" s="1"/>
  <c r="D46" i="4"/>
  <c r="N46" i="4" s="1"/>
  <c r="D44" i="4"/>
  <c r="L44" i="4" s="1"/>
  <c r="D42" i="4"/>
  <c r="L42" i="4" s="1"/>
  <c r="L4" i="20" l="1"/>
  <c r="L4" i="19"/>
  <c r="M4" i="19"/>
  <c r="M4" i="22"/>
  <c r="N46" i="20"/>
  <c r="N46" i="19"/>
  <c r="G6" i="22"/>
  <c r="G6" i="19"/>
  <c r="N4" i="19"/>
  <c r="N4" i="20"/>
  <c r="L44" i="19"/>
  <c r="L44" i="20"/>
  <c r="H48" i="20"/>
  <c r="H48" i="19"/>
  <c r="J8" i="19"/>
  <c r="J8" i="22"/>
  <c r="J8" i="20"/>
  <c r="F40" i="20"/>
  <c r="F40" i="19"/>
  <c r="G40" i="19"/>
  <c r="G40" i="22"/>
  <c r="H40" i="19"/>
  <c r="H40" i="20"/>
  <c r="N10" i="20"/>
  <c r="N10" i="19"/>
  <c r="F4" i="20"/>
  <c r="F4" i="19"/>
  <c r="I40" i="22"/>
  <c r="I40" i="19"/>
  <c r="K4" i="22"/>
  <c r="K4" i="19"/>
  <c r="G4" i="19"/>
  <c r="G4" i="22"/>
  <c r="J40" i="20"/>
  <c r="J40" i="22"/>
  <c r="J40" i="19"/>
  <c r="K40" i="22"/>
  <c r="K40" i="19"/>
  <c r="L40" i="19"/>
  <c r="L40" i="20"/>
  <c r="H4" i="20"/>
  <c r="H4" i="19"/>
  <c r="I4" i="22"/>
  <c r="I4" i="19"/>
  <c r="L42" i="19"/>
  <c r="L42" i="20"/>
  <c r="J4" i="22"/>
  <c r="J4" i="20"/>
  <c r="J4" i="19"/>
  <c r="M40" i="19"/>
  <c r="M40" i="22"/>
  <c r="N40" i="20"/>
  <c r="N40" i="19"/>
  <c r="K46" i="4"/>
  <c r="I6" i="4"/>
  <c r="H6" i="4"/>
  <c r="I10" i="4"/>
  <c r="H54" i="4"/>
  <c r="K10" i="4"/>
  <c r="N12" i="4"/>
  <c r="E11" i="4"/>
  <c r="E13" i="4"/>
  <c r="G12" i="4"/>
  <c r="G6" i="24" s="1"/>
  <c r="F42" i="4"/>
  <c r="I44" i="4"/>
  <c r="E43" i="4"/>
  <c r="M46" i="4"/>
  <c r="E45" i="4"/>
  <c r="N48" i="4"/>
  <c r="E47" i="4"/>
  <c r="H12" i="4"/>
  <c r="L54" i="4"/>
  <c r="N6" i="4"/>
  <c r="E5" i="4"/>
  <c r="I12" i="4"/>
  <c r="I6" i="24" s="1"/>
  <c r="G44" i="4"/>
  <c r="I8" i="4"/>
  <c r="E7" i="4"/>
  <c r="F6" i="4"/>
  <c r="J44" i="4"/>
  <c r="N42" i="4"/>
  <c r="E41" i="4"/>
  <c r="M10" i="4"/>
  <c r="E9" i="4"/>
  <c r="F12" i="4"/>
  <c r="K44" i="4"/>
  <c r="G48" i="4"/>
  <c r="G14" i="24" s="1"/>
  <c r="M44" i="4"/>
  <c r="I48" i="4"/>
  <c r="I14" i="24" s="1"/>
  <c r="J6" i="4"/>
  <c r="N8" i="4"/>
  <c r="J12" i="4"/>
  <c r="J6" i="24" s="1"/>
  <c r="F44" i="4"/>
  <c r="G42" i="4"/>
  <c r="N44" i="4"/>
  <c r="J48" i="4"/>
  <c r="J14" i="24" s="1"/>
  <c r="M8" i="4"/>
  <c r="K6" i="4"/>
  <c r="G10" i="4"/>
  <c r="K12" i="4"/>
  <c r="K6" i="24" s="1"/>
  <c r="F46" i="4"/>
  <c r="H42" i="4"/>
  <c r="G46" i="4"/>
  <c r="K48" i="4"/>
  <c r="K14" i="24" s="1"/>
  <c r="L8" i="4"/>
  <c r="L6" i="4"/>
  <c r="H10" i="4"/>
  <c r="L12" i="4"/>
  <c r="F48" i="4"/>
  <c r="I42" i="4"/>
  <c r="H46" i="4"/>
  <c r="L48" i="4"/>
  <c r="M6" i="4"/>
  <c r="M12" i="4"/>
  <c r="M6" i="24" s="1"/>
  <c r="J42" i="4"/>
  <c r="I46" i="4"/>
  <c r="M48" i="4"/>
  <c r="M14" i="24" s="1"/>
  <c r="K8" i="4"/>
  <c r="J10" i="4"/>
  <c r="K42" i="4"/>
  <c r="J46" i="4"/>
  <c r="F8" i="4"/>
  <c r="H8" i="4"/>
  <c r="L10" i="4"/>
  <c r="M42" i="4"/>
  <c r="H44" i="4"/>
  <c r="L46" i="4"/>
  <c r="G8" i="4"/>
  <c r="F10" i="4"/>
  <c r="K42" i="22" l="1"/>
  <c r="K42" i="19"/>
  <c r="M10" i="22"/>
  <c r="M10" i="19"/>
  <c r="G42" i="22"/>
  <c r="G42" i="19"/>
  <c r="F44" i="20"/>
  <c r="F44" i="19"/>
  <c r="J44" i="20"/>
  <c r="J44" i="19"/>
  <c r="J44" i="22"/>
  <c r="N8" i="20"/>
  <c r="N8" i="19"/>
  <c r="I6" i="19"/>
  <c r="I6" i="22"/>
  <c r="J10" i="22"/>
  <c r="J10" i="20"/>
  <c r="J10" i="19"/>
  <c r="N42" i="20"/>
  <c r="N42" i="19"/>
  <c r="L46" i="20"/>
  <c r="L46" i="19"/>
  <c r="J6" i="22"/>
  <c r="J6" i="20"/>
  <c r="J6" i="19"/>
  <c r="K46" i="22"/>
  <c r="K46" i="19"/>
  <c r="N12" i="19"/>
  <c r="N12" i="20"/>
  <c r="N44" i="20"/>
  <c r="N44" i="19"/>
  <c r="M48" i="19"/>
  <c r="M48" i="22"/>
  <c r="J12" i="22"/>
  <c r="J12" i="20"/>
  <c r="J12" i="19"/>
  <c r="F6" i="20"/>
  <c r="F6" i="19"/>
  <c r="I48" i="22"/>
  <c r="I48" i="19"/>
  <c r="I8" i="19"/>
  <c r="I8" i="22"/>
  <c r="I44" i="19"/>
  <c r="I44" i="22"/>
  <c r="L12" i="19"/>
  <c r="L12" i="20"/>
  <c r="H10" i="19"/>
  <c r="H10" i="20"/>
  <c r="K8" i="22"/>
  <c r="K8" i="19"/>
  <c r="N48" i="19"/>
  <c r="N48" i="20"/>
  <c r="G8" i="22"/>
  <c r="G8" i="19"/>
  <c r="H6" i="20"/>
  <c r="H6" i="19"/>
  <c r="G46" i="22"/>
  <c r="G46" i="19"/>
  <c r="M12" i="19"/>
  <c r="M12" i="22"/>
  <c r="M42" i="19"/>
  <c r="M42" i="22"/>
  <c r="K12" i="19"/>
  <c r="K12" i="22"/>
  <c r="M44" i="19"/>
  <c r="M44" i="22"/>
  <c r="G44" i="22"/>
  <c r="G44" i="19"/>
  <c r="F42" i="20"/>
  <c r="F42" i="19"/>
  <c r="G12" i="22"/>
  <c r="G12" i="19"/>
  <c r="K10" i="19"/>
  <c r="K10" i="22"/>
  <c r="F10" i="19"/>
  <c r="F10" i="20"/>
  <c r="I10" i="22"/>
  <c r="I10" i="19"/>
  <c r="K48" i="22"/>
  <c r="K48" i="19"/>
  <c r="J42" i="20"/>
  <c r="J42" i="22"/>
  <c r="J42" i="19"/>
  <c r="H44" i="19"/>
  <c r="H44" i="20"/>
  <c r="M6" i="19"/>
  <c r="M6" i="22"/>
  <c r="L10" i="20"/>
  <c r="L10" i="19"/>
  <c r="H8" i="19"/>
  <c r="H8" i="20"/>
  <c r="G48" i="19"/>
  <c r="G48" i="22"/>
  <c r="F8" i="20"/>
  <c r="F8" i="19"/>
  <c r="K6" i="22"/>
  <c r="K6" i="19"/>
  <c r="K44" i="19"/>
  <c r="K44" i="22"/>
  <c r="J48" i="20"/>
  <c r="J48" i="22"/>
  <c r="J48" i="19"/>
  <c r="H12" i="20"/>
  <c r="H12" i="19"/>
  <c r="L6" i="20"/>
  <c r="L6" i="19"/>
  <c r="L8" i="20"/>
  <c r="L8" i="19"/>
  <c r="I46" i="19"/>
  <c r="I46" i="22"/>
  <c r="M46" i="22"/>
  <c r="M46" i="19"/>
  <c r="H42" i="20"/>
  <c r="H42" i="19"/>
  <c r="F46" i="19"/>
  <c r="F46" i="20"/>
  <c r="L48" i="19"/>
  <c r="L48" i="20"/>
  <c r="H46" i="19"/>
  <c r="H46" i="20"/>
  <c r="G10" i="22"/>
  <c r="G10" i="19"/>
  <c r="I12" i="22"/>
  <c r="I12" i="19"/>
  <c r="I42" i="19"/>
  <c r="I42" i="22"/>
  <c r="J46" i="20"/>
  <c r="J46" i="22"/>
  <c r="J46" i="19"/>
  <c r="F48" i="20"/>
  <c r="F48" i="19"/>
  <c r="M8" i="22"/>
  <c r="M8" i="19"/>
  <c r="F12" i="19"/>
  <c r="F12" i="20"/>
  <c r="N6" i="19"/>
  <c r="N6" i="20"/>
  <c r="D30" i="4"/>
  <c r="L14" i="4"/>
  <c r="H14" i="4"/>
  <c r="D36" i="4"/>
  <c r="D34" i="4"/>
  <c r="D32" i="4"/>
  <c r="D28" i="4"/>
  <c r="D26" i="4"/>
  <c r="D24" i="4"/>
  <c r="D20" i="4"/>
  <c r="D18" i="4"/>
  <c r="D16" i="4"/>
  <c r="E15" i="4" s="1"/>
  <c r="D38" i="4"/>
  <c r="D22" i="4"/>
  <c r="H14" i="20" l="1"/>
  <c r="H14" i="19"/>
  <c r="L14" i="19"/>
  <c r="L14" i="20"/>
  <c r="H28" i="4"/>
  <c r="E27" i="4"/>
  <c r="L38" i="4"/>
  <c r="E39" i="4"/>
  <c r="E37" i="4"/>
  <c r="H24" i="4"/>
  <c r="E23" i="4"/>
  <c r="H34" i="4"/>
  <c r="E33" i="4"/>
  <c r="H30" i="4"/>
  <c r="E29" i="4"/>
  <c r="H20" i="4"/>
  <c r="E19" i="4"/>
  <c r="H26" i="4"/>
  <c r="E25" i="4"/>
  <c r="L32" i="4"/>
  <c r="E31" i="4"/>
  <c r="H36" i="4"/>
  <c r="E35" i="4"/>
  <c r="F22" i="4"/>
  <c r="E21" i="4"/>
  <c r="H18" i="4"/>
  <c r="E17" i="4"/>
  <c r="H32" i="4"/>
  <c r="H38" i="4"/>
  <c r="L16" i="4"/>
  <c r="H16" i="4"/>
  <c r="L18" i="4"/>
  <c r="L20" i="4"/>
  <c r="L22" i="4"/>
  <c r="L24" i="4"/>
  <c r="G22" i="4"/>
  <c r="I22" i="4"/>
  <c r="L26" i="4"/>
  <c r="L28" i="4"/>
  <c r="L30" i="4"/>
  <c r="L34" i="4"/>
  <c r="L36" i="4"/>
  <c r="I30" i="4"/>
  <c r="J30" i="4"/>
  <c r="M22" i="4"/>
  <c r="N22" i="4"/>
  <c r="F30" i="4"/>
  <c r="J22" i="4"/>
  <c r="K22" i="4"/>
  <c r="G30" i="4"/>
  <c r="H22" i="4"/>
  <c r="K30" i="4"/>
  <c r="M30" i="4"/>
  <c r="N30" i="4"/>
  <c r="F22" i="19" l="1"/>
  <c r="F22" i="20"/>
  <c r="L20" i="19"/>
  <c r="L20" i="20"/>
  <c r="L16" i="19"/>
  <c r="L16" i="20"/>
  <c r="H34" i="19"/>
  <c r="H34" i="20"/>
  <c r="H24" i="20"/>
  <c r="H24" i="19"/>
  <c r="H38" i="20"/>
  <c r="H38" i="19"/>
  <c r="H28" i="19"/>
  <c r="H28" i="20"/>
  <c r="G22" i="19"/>
  <c r="G22" i="22"/>
  <c r="N22" i="20"/>
  <c r="N22" i="19"/>
  <c r="J30" i="22"/>
  <c r="J30" i="19"/>
  <c r="J30" i="20"/>
  <c r="H26" i="19"/>
  <c r="H26" i="20"/>
  <c r="H20" i="20"/>
  <c r="H20" i="19"/>
  <c r="L24" i="19"/>
  <c r="L24" i="20"/>
  <c r="L22" i="20"/>
  <c r="L22" i="19"/>
  <c r="L32" i="19"/>
  <c r="L32" i="20"/>
  <c r="I30" i="22"/>
  <c r="I30" i="19"/>
  <c r="N30" i="19"/>
  <c r="N30" i="20"/>
  <c r="K30" i="22"/>
  <c r="K30" i="19"/>
  <c r="L28" i="20"/>
  <c r="L28" i="19"/>
  <c r="J22" i="20"/>
  <c r="J22" i="22"/>
  <c r="J22" i="19"/>
  <c r="M22" i="22"/>
  <c r="M22" i="19"/>
  <c r="L18" i="19"/>
  <c r="L18" i="20"/>
  <c r="H16" i="19"/>
  <c r="H16" i="20"/>
  <c r="L36" i="20"/>
  <c r="L36" i="19"/>
  <c r="L34" i="20"/>
  <c r="L34" i="19"/>
  <c r="L30" i="20"/>
  <c r="L30" i="19"/>
  <c r="G30" i="22"/>
  <c r="G30" i="19"/>
  <c r="H18" i="20"/>
  <c r="H18" i="19"/>
  <c r="H30" i="20"/>
  <c r="H30" i="19"/>
  <c r="F30" i="19"/>
  <c r="F30" i="20"/>
  <c r="H36" i="20"/>
  <c r="H36" i="19"/>
  <c r="L38" i="19"/>
  <c r="L38" i="20"/>
  <c r="M30" i="19"/>
  <c r="M30" i="22"/>
  <c r="H32" i="19"/>
  <c r="H32" i="20"/>
  <c r="H22" i="20"/>
  <c r="H22" i="19"/>
  <c r="L26" i="19"/>
  <c r="L26" i="20"/>
  <c r="K22" i="22"/>
  <c r="K22" i="19"/>
  <c r="I22" i="22"/>
  <c r="I22" i="19"/>
  <c r="Q22" i="24" l="1"/>
  <c r="C100" i="4" l="1"/>
  <c r="C76" i="4"/>
  <c r="C80" i="4"/>
  <c r="C98" i="4"/>
  <c r="C96" i="4"/>
  <c r="C94" i="4"/>
  <c r="C90" i="4"/>
  <c r="C88" i="4"/>
  <c r="C86" i="4"/>
  <c r="C82" i="4"/>
  <c r="C78" i="4"/>
  <c r="M36" i="4" l="1"/>
  <c r="M36" i="19" s="1"/>
  <c r="K34" i="4"/>
  <c r="K34" i="19" s="1"/>
  <c r="M32" i="4"/>
  <c r="M32" i="19" s="1"/>
  <c r="K28" i="4"/>
  <c r="K28" i="19" s="1"/>
  <c r="M26" i="4"/>
  <c r="M26" i="19" s="1"/>
  <c r="N24" i="4"/>
  <c r="N24" i="19" s="1"/>
  <c r="K28" i="22" l="1"/>
  <c r="K34" i="22"/>
  <c r="N24" i="20"/>
  <c r="M32" i="22"/>
  <c r="M36" i="22"/>
  <c r="M26" i="22"/>
  <c r="N36" i="4"/>
  <c r="N36" i="19" s="1"/>
  <c r="G36" i="4"/>
  <c r="G36" i="19" s="1"/>
  <c r="I36" i="4"/>
  <c r="I36" i="19" s="1"/>
  <c r="J36" i="4"/>
  <c r="K36" i="4"/>
  <c r="K36" i="19" s="1"/>
  <c r="F36" i="4"/>
  <c r="M34" i="4"/>
  <c r="M34" i="19" s="1"/>
  <c r="N34" i="4"/>
  <c r="N34" i="19" s="1"/>
  <c r="I34" i="4"/>
  <c r="I34" i="19" s="1"/>
  <c r="J34" i="4"/>
  <c r="F34" i="4"/>
  <c r="G34" i="4"/>
  <c r="G34" i="19" s="1"/>
  <c r="N32" i="4"/>
  <c r="N32" i="19" s="1"/>
  <c r="F32" i="4"/>
  <c r="J32" i="4"/>
  <c r="G32" i="4"/>
  <c r="G32" i="19" s="1"/>
  <c r="I32" i="4"/>
  <c r="I32" i="19" s="1"/>
  <c r="K32" i="4"/>
  <c r="K32" i="19" s="1"/>
  <c r="M28" i="4"/>
  <c r="M28" i="19" s="1"/>
  <c r="N28" i="4"/>
  <c r="N28" i="19" s="1"/>
  <c r="F28" i="4"/>
  <c r="G28" i="4"/>
  <c r="G28" i="19" s="1"/>
  <c r="I28" i="4"/>
  <c r="I28" i="19" s="1"/>
  <c r="J28" i="4"/>
  <c r="N26" i="4"/>
  <c r="N26" i="19" s="1"/>
  <c r="F26" i="4"/>
  <c r="G26" i="4"/>
  <c r="G26" i="19" s="1"/>
  <c r="I26" i="4"/>
  <c r="I26" i="19" s="1"/>
  <c r="J26" i="4"/>
  <c r="K26" i="4"/>
  <c r="K26" i="19" s="1"/>
  <c r="F24" i="4"/>
  <c r="I24" i="4"/>
  <c r="I24" i="19" s="1"/>
  <c r="G24" i="4"/>
  <c r="G24" i="19" s="1"/>
  <c r="J24" i="4"/>
  <c r="K24" i="4"/>
  <c r="K24" i="19" s="1"/>
  <c r="M24" i="4"/>
  <c r="M24" i="19" s="1"/>
  <c r="J26" i="22" l="1"/>
  <c r="J26" i="19"/>
  <c r="J28" i="22"/>
  <c r="J28" i="19"/>
  <c r="J34" i="22"/>
  <c r="J34" i="19"/>
  <c r="J36" i="19"/>
  <c r="J36" i="22"/>
  <c r="J32" i="22"/>
  <c r="J32" i="19"/>
  <c r="J24" i="22"/>
  <c r="J24" i="19"/>
  <c r="F24" i="20"/>
  <c r="F24" i="19"/>
  <c r="F32" i="20"/>
  <c r="F32" i="19"/>
  <c r="K36" i="22"/>
  <c r="J32" i="20"/>
  <c r="G28" i="22"/>
  <c r="I26" i="22"/>
  <c r="J36" i="20"/>
  <c r="F36" i="20"/>
  <c r="F36" i="19"/>
  <c r="F34" i="20"/>
  <c r="F34" i="19"/>
  <c r="K26" i="22"/>
  <c r="F28" i="20"/>
  <c r="F28" i="19"/>
  <c r="K24" i="22"/>
  <c r="G26" i="22"/>
  <c r="I36" i="22"/>
  <c r="G36" i="22"/>
  <c r="J26" i="20"/>
  <c r="J24" i="20"/>
  <c r="F26" i="20"/>
  <c r="F26" i="19"/>
  <c r="K32" i="22"/>
  <c r="J34" i="20"/>
  <c r="G24" i="22"/>
  <c r="I32" i="22"/>
  <c r="I34" i="22"/>
  <c r="I28" i="22"/>
  <c r="G34" i="22"/>
  <c r="I24" i="22"/>
  <c r="J28" i="20"/>
  <c r="G32" i="22"/>
  <c r="N26" i="20"/>
  <c r="N36" i="20"/>
  <c r="N34" i="20"/>
  <c r="N32" i="20"/>
  <c r="N28" i="20"/>
  <c r="M28" i="22"/>
  <c r="M24" i="22"/>
  <c r="M34" i="22"/>
  <c r="J14" i="4" l="1"/>
  <c r="J8" i="24" s="1"/>
  <c r="J14" i="19" l="1"/>
  <c r="J14" i="22"/>
  <c r="J14" i="20"/>
  <c r="N14" i="4"/>
  <c r="N14" i="19" s="1"/>
  <c r="I16" i="4"/>
  <c r="I16" i="19" s="1"/>
  <c r="G18" i="4"/>
  <c r="G18" i="19" s="1"/>
  <c r="K20" i="4"/>
  <c r="K20" i="19" s="1"/>
  <c r="J18" i="4"/>
  <c r="N38" i="4"/>
  <c r="N38" i="19" s="1"/>
  <c r="I14" i="4"/>
  <c r="G16" i="4"/>
  <c r="G16" i="19" s="1"/>
  <c r="K18" i="4"/>
  <c r="K18" i="19" s="1"/>
  <c r="N20" i="4"/>
  <c r="N20" i="19" s="1"/>
  <c r="M20" i="4"/>
  <c r="M20" i="19" s="1"/>
  <c r="G14" i="4"/>
  <c r="J16" i="4"/>
  <c r="M18" i="4"/>
  <c r="F38" i="4"/>
  <c r="K16" i="4"/>
  <c r="K16" i="19" s="1"/>
  <c r="G38" i="4"/>
  <c r="K14" i="4"/>
  <c r="M16" i="4"/>
  <c r="M16" i="19" s="1"/>
  <c r="F20" i="4"/>
  <c r="J38" i="4"/>
  <c r="J10" i="24" s="1"/>
  <c r="I38" i="4"/>
  <c r="F14" i="4"/>
  <c r="M14" i="4"/>
  <c r="N16" i="4"/>
  <c r="N16" i="19" s="1"/>
  <c r="G20" i="4"/>
  <c r="G20" i="19" s="1"/>
  <c r="K38" i="4"/>
  <c r="I20" i="4"/>
  <c r="I20" i="19" s="1"/>
  <c r="F16" i="4"/>
  <c r="N18" i="4"/>
  <c r="N18" i="19" s="1"/>
  <c r="F18" i="4"/>
  <c r="J20" i="4"/>
  <c r="M38" i="4"/>
  <c r="I18" i="4"/>
  <c r="I18" i="19" s="1"/>
  <c r="U17" i="4"/>
  <c r="U16" i="4"/>
  <c r="M38" i="19" l="1"/>
  <c r="M10" i="24"/>
  <c r="I14" i="19"/>
  <c r="I8" i="24"/>
  <c r="M18" i="19"/>
  <c r="M18" i="22"/>
  <c r="K14" i="19"/>
  <c r="K8" i="24"/>
  <c r="K38" i="19"/>
  <c r="K10" i="24"/>
  <c r="L115" i="4"/>
  <c r="M14" i="19"/>
  <c r="M8" i="24"/>
  <c r="G14" i="19"/>
  <c r="G8" i="24"/>
  <c r="G38" i="19"/>
  <c r="G10" i="24"/>
  <c r="I38" i="19"/>
  <c r="I10" i="24"/>
  <c r="J38" i="19"/>
  <c r="J38" i="22"/>
  <c r="J18" i="22"/>
  <c r="J18" i="19"/>
  <c r="J20" i="19"/>
  <c r="J20" i="22"/>
  <c r="J16" i="22"/>
  <c r="J16" i="19"/>
  <c r="J55" i="4"/>
  <c r="I55" i="4"/>
  <c r="K55" i="4"/>
  <c r="L55" i="4"/>
  <c r="H55" i="4"/>
  <c r="K14" i="22"/>
  <c r="F16" i="20"/>
  <c r="F16" i="19"/>
  <c r="G14" i="22"/>
  <c r="K38" i="22"/>
  <c r="I38" i="22"/>
  <c r="J16" i="20"/>
  <c r="J18" i="20"/>
  <c r="F20" i="20"/>
  <c r="F20" i="19"/>
  <c r="I18" i="22"/>
  <c r="G38" i="22"/>
  <c r="J20" i="20"/>
  <c r="K16" i="22"/>
  <c r="G16" i="22"/>
  <c r="J38" i="20"/>
  <c r="I20" i="22"/>
  <c r="K20" i="22"/>
  <c r="G18" i="22"/>
  <c r="G20" i="22"/>
  <c r="I16" i="22"/>
  <c r="K18" i="22"/>
  <c r="F18" i="20"/>
  <c r="F18" i="19"/>
  <c r="F14" i="20"/>
  <c r="F14" i="19"/>
  <c r="F38" i="20"/>
  <c r="F38" i="19"/>
  <c r="I14" i="22"/>
  <c r="N38" i="20"/>
  <c r="N18" i="20"/>
  <c r="N20" i="20"/>
  <c r="N16" i="20"/>
  <c r="M14" i="22"/>
  <c r="M16" i="22"/>
  <c r="M20" i="22"/>
  <c r="M38" i="22"/>
  <c r="N14" i="20"/>
  <c r="R21" i="4"/>
  <c r="J57" i="4" l="1"/>
  <c r="F5" i="4"/>
  <c r="L59" i="4"/>
  <c r="K59" i="4"/>
  <c r="J59" i="4"/>
  <c r="H57" i="4"/>
  <c r="I59" i="4"/>
  <c r="F49" i="4"/>
  <c r="H59" i="4"/>
  <c r="L57" i="4"/>
  <c r="K57" i="4"/>
  <c r="I57" i="4"/>
  <c r="J61" i="4"/>
  <c r="N49" i="4"/>
  <c r="J47" i="4"/>
  <c r="J41" i="4"/>
  <c r="J13" i="24" s="1"/>
  <c r="H13" i="4"/>
  <c r="L9" i="4"/>
  <c r="H7" i="4"/>
  <c r="H5" i="4"/>
  <c r="F45" i="4"/>
  <c r="N11" i="4"/>
  <c r="F13" i="4"/>
  <c r="F43" i="4"/>
  <c r="M49" i="4"/>
  <c r="I47" i="4"/>
  <c r="F47" i="4"/>
  <c r="I41" i="4"/>
  <c r="I13" i="24" s="1"/>
  <c r="G13" i="4"/>
  <c r="K9" i="4"/>
  <c r="G7" i="4"/>
  <c r="G7" i="22" s="1"/>
  <c r="G5" i="4"/>
  <c r="L49" i="4"/>
  <c r="H41" i="4"/>
  <c r="J9" i="4"/>
  <c r="K41" i="4"/>
  <c r="K13" i="24" s="1"/>
  <c r="H47" i="4"/>
  <c r="K49" i="4"/>
  <c r="K15" i="24" s="1"/>
  <c r="G47" i="4"/>
  <c r="G47" i="22" s="1"/>
  <c r="N43" i="4"/>
  <c r="G41" i="4"/>
  <c r="M11" i="4"/>
  <c r="M11" i="22" s="1"/>
  <c r="I9" i="4"/>
  <c r="F11" i="4"/>
  <c r="I45" i="4"/>
  <c r="H43" i="4"/>
  <c r="K13" i="4"/>
  <c r="K7" i="24" s="1"/>
  <c r="K7" i="4"/>
  <c r="J49" i="4"/>
  <c r="J15" i="24" s="1"/>
  <c r="N45" i="4"/>
  <c r="M43" i="4"/>
  <c r="M43" i="22" s="1"/>
  <c r="F41" i="4"/>
  <c r="L11" i="4"/>
  <c r="H9" i="4"/>
  <c r="F9" i="4"/>
  <c r="K47" i="4"/>
  <c r="I49" i="4"/>
  <c r="I15" i="24" s="1"/>
  <c r="M45" i="4"/>
  <c r="M45" i="22" s="1"/>
  <c r="L43" i="4"/>
  <c r="K11" i="4"/>
  <c r="G9" i="4"/>
  <c r="G9" i="22" s="1"/>
  <c r="F7" i="4"/>
  <c r="I13" i="4"/>
  <c r="I7" i="24" s="1"/>
  <c r="H49" i="4"/>
  <c r="L45" i="4"/>
  <c r="K43" i="4"/>
  <c r="N13" i="4"/>
  <c r="J11" i="4"/>
  <c r="N7" i="4"/>
  <c r="N5" i="4"/>
  <c r="L13" i="4"/>
  <c r="L7" i="4"/>
  <c r="K5" i="4"/>
  <c r="K5" i="24" s="1"/>
  <c r="J7" i="4"/>
  <c r="M9" i="4"/>
  <c r="M9" i="22" s="1"/>
  <c r="G49" i="4"/>
  <c r="K45" i="4"/>
  <c r="J43" i="4"/>
  <c r="M13" i="4"/>
  <c r="I11" i="4"/>
  <c r="M7" i="4"/>
  <c r="M7" i="22" s="1"/>
  <c r="M5" i="4"/>
  <c r="N47" i="4"/>
  <c r="J45" i="4"/>
  <c r="I43" i="4"/>
  <c r="N41" i="4"/>
  <c r="H11" i="4"/>
  <c r="L5" i="4"/>
  <c r="M41" i="4"/>
  <c r="G11" i="4"/>
  <c r="G11" i="22" s="1"/>
  <c r="I7" i="4"/>
  <c r="M47" i="4"/>
  <c r="M47" i="22" s="1"/>
  <c r="G45" i="4"/>
  <c r="G45" i="22" s="1"/>
  <c r="I5" i="4"/>
  <c r="I5" i="24" s="1"/>
  <c r="L47" i="4"/>
  <c r="H45" i="4"/>
  <c r="G43" i="4"/>
  <c r="G43" i="22" s="1"/>
  <c r="L41" i="4"/>
  <c r="J13" i="4"/>
  <c r="J7" i="24" s="1"/>
  <c r="N9" i="4"/>
  <c r="J5" i="4"/>
  <c r="J5" i="24" s="1"/>
  <c r="N39" i="4"/>
  <c r="N39" i="19" s="1"/>
  <c r="K37" i="4"/>
  <c r="K37" i="19" s="1"/>
  <c r="H27" i="4"/>
  <c r="M39" i="4"/>
  <c r="J37" i="4"/>
  <c r="G35" i="4"/>
  <c r="M31" i="4"/>
  <c r="J29" i="4"/>
  <c r="G27" i="4"/>
  <c r="M23" i="4"/>
  <c r="J21" i="4"/>
  <c r="G19" i="4"/>
  <c r="M15" i="4"/>
  <c r="N33" i="4"/>
  <c r="N33" i="19" s="1"/>
  <c r="K23" i="4"/>
  <c r="M33" i="4"/>
  <c r="J31" i="4"/>
  <c r="J23" i="4"/>
  <c r="N17" i="4"/>
  <c r="N17" i="19" s="1"/>
  <c r="J15" i="4"/>
  <c r="I27" i="4"/>
  <c r="I27" i="19" s="1"/>
  <c r="F17" i="4"/>
  <c r="K29" i="4"/>
  <c r="K29" i="19" s="1"/>
  <c r="H19" i="4"/>
  <c r="L39" i="4"/>
  <c r="I37" i="4"/>
  <c r="I37" i="19" s="1"/>
  <c r="F35" i="4"/>
  <c r="L31" i="4"/>
  <c r="I29" i="4"/>
  <c r="I29" i="19" s="1"/>
  <c r="F27" i="4"/>
  <c r="L23" i="4"/>
  <c r="I21" i="4"/>
  <c r="I21" i="19" s="1"/>
  <c r="F19" i="4"/>
  <c r="L15" i="4"/>
  <c r="K39" i="4"/>
  <c r="H37" i="4"/>
  <c r="K31" i="4"/>
  <c r="H29" i="4"/>
  <c r="N25" i="4"/>
  <c r="N25" i="19" s="1"/>
  <c r="H21" i="4"/>
  <c r="K15" i="4"/>
  <c r="G37" i="4"/>
  <c r="G29" i="4"/>
  <c r="G21" i="4"/>
  <c r="L29" i="4"/>
  <c r="N23" i="4"/>
  <c r="M25" i="4"/>
  <c r="N15" i="4"/>
  <c r="N15" i="19" s="1"/>
  <c r="J39" i="4"/>
  <c r="J11" i="24" s="1"/>
  <c r="I39" i="4"/>
  <c r="F37" i="4"/>
  <c r="L33" i="4"/>
  <c r="I31" i="4"/>
  <c r="F29" i="4"/>
  <c r="L25" i="4"/>
  <c r="I23" i="4"/>
  <c r="F21" i="4"/>
  <c r="F21" i="20" s="1"/>
  <c r="M17" i="4"/>
  <c r="I15" i="4"/>
  <c r="I33" i="4"/>
  <c r="I33" i="19" s="1"/>
  <c r="L27" i="4"/>
  <c r="L19" i="4"/>
  <c r="F15" i="4"/>
  <c r="F15" i="20" s="1"/>
  <c r="K35" i="4"/>
  <c r="K35" i="19" s="1"/>
  <c r="H25" i="4"/>
  <c r="M37" i="4"/>
  <c r="G25" i="4"/>
  <c r="L37" i="4"/>
  <c r="F25" i="4"/>
  <c r="H35" i="4"/>
  <c r="H39" i="4"/>
  <c r="N35" i="4"/>
  <c r="N35" i="19" s="1"/>
  <c r="K33" i="4"/>
  <c r="K33" i="19" s="1"/>
  <c r="H31" i="4"/>
  <c r="N27" i="4"/>
  <c r="N27" i="19" s="1"/>
  <c r="K25" i="4"/>
  <c r="K25" i="19" s="1"/>
  <c r="H23" i="4"/>
  <c r="N19" i="4"/>
  <c r="N19" i="19" s="1"/>
  <c r="L17" i="4"/>
  <c r="H15" i="4"/>
  <c r="L35" i="4"/>
  <c r="I25" i="4"/>
  <c r="I25" i="19" s="1"/>
  <c r="J17" i="4"/>
  <c r="H33" i="4"/>
  <c r="K27" i="4"/>
  <c r="K27" i="19" s="1"/>
  <c r="K19" i="4"/>
  <c r="K19" i="19" s="1"/>
  <c r="J35" i="4"/>
  <c r="J27" i="4"/>
  <c r="J19" i="4"/>
  <c r="F33" i="4"/>
  <c r="I19" i="4"/>
  <c r="I19" i="19" s="1"/>
  <c r="K21" i="4"/>
  <c r="K21" i="19" s="1"/>
  <c r="G39" i="4"/>
  <c r="M35" i="4"/>
  <c r="J33" i="4"/>
  <c r="G31" i="4"/>
  <c r="M27" i="4"/>
  <c r="J25" i="4"/>
  <c r="G23" i="4"/>
  <c r="M19" i="4"/>
  <c r="K17" i="4"/>
  <c r="K17" i="19" s="1"/>
  <c r="G15" i="4"/>
  <c r="F39" i="4"/>
  <c r="F31" i="4"/>
  <c r="F23" i="4"/>
  <c r="N37" i="4"/>
  <c r="N37" i="19" s="1"/>
  <c r="N29" i="4"/>
  <c r="N29" i="19" s="1"/>
  <c r="N21" i="4"/>
  <c r="N21" i="19" s="1"/>
  <c r="I17" i="4"/>
  <c r="I17" i="19" s="1"/>
  <c r="G33" i="4"/>
  <c r="M29" i="4"/>
  <c r="M21" i="4"/>
  <c r="G17" i="4"/>
  <c r="I35" i="4"/>
  <c r="I35" i="19" s="1"/>
  <c r="L21" i="4"/>
  <c r="N31" i="4"/>
  <c r="H17" i="4"/>
  <c r="U19" i="4"/>
  <c r="M31" i="22" l="1"/>
  <c r="G15" i="19"/>
  <c r="G15" i="22"/>
  <c r="G9" i="24"/>
  <c r="G92" i="4"/>
  <c r="G84" i="4"/>
  <c r="G85" i="4" s="1"/>
  <c r="K6" i="23" s="1"/>
  <c r="M37" i="19"/>
  <c r="M37" i="22"/>
  <c r="G37" i="19"/>
  <c r="G37" i="22"/>
  <c r="G35" i="19"/>
  <c r="G35" i="22"/>
  <c r="J93" i="4"/>
  <c r="M5" i="24"/>
  <c r="M5" i="22"/>
  <c r="M21" i="19"/>
  <c r="M21" i="22"/>
  <c r="M19" i="19"/>
  <c r="M19" i="22"/>
  <c r="M33" i="19"/>
  <c r="M33" i="22"/>
  <c r="M39" i="19"/>
  <c r="M11" i="24"/>
  <c r="M39" i="22"/>
  <c r="K15" i="19"/>
  <c r="K9" i="24"/>
  <c r="K71" i="24" s="1"/>
  <c r="K92" i="4"/>
  <c r="K93" i="4" s="1"/>
  <c r="K84" i="4"/>
  <c r="K85" i="4" s="1"/>
  <c r="M13" i="22"/>
  <c r="M7" i="24"/>
  <c r="G5" i="24"/>
  <c r="G5" i="22"/>
  <c r="G66" i="4"/>
  <c r="G33" i="19"/>
  <c r="G33" i="22"/>
  <c r="I39" i="19"/>
  <c r="I11" i="24"/>
  <c r="I72" i="24" s="1"/>
  <c r="M27" i="19"/>
  <c r="M27" i="22"/>
  <c r="M15" i="19"/>
  <c r="M9" i="24"/>
  <c r="M15" i="22"/>
  <c r="M84" i="4"/>
  <c r="M92" i="4"/>
  <c r="M93" i="4" s="1"/>
  <c r="G29" i="19"/>
  <c r="G29" i="22"/>
  <c r="G31" i="22"/>
  <c r="G93" i="4"/>
  <c r="O6" i="23" s="1"/>
  <c r="G19" i="19"/>
  <c r="G19" i="22"/>
  <c r="M13" i="24"/>
  <c r="M41" i="22"/>
  <c r="G41" i="22"/>
  <c r="G13" i="24"/>
  <c r="G13" i="22"/>
  <c r="G7" i="24"/>
  <c r="G71" i="24" s="1"/>
  <c r="J72" i="24"/>
  <c r="M29" i="19"/>
  <c r="M29" i="22"/>
  <c r="I15" i="19"/>
  <c r="I9" i="24"/>
  <c r="I92" i="4"/>
  <c r="I93" i="4" s="1"/>
  <c r="O15" i="23" s="1"/>
  <c r="I84" i="4"/>
  <c r="I85" i="4" s="1"/>
  <c r="K15" i="23" s="1"/>
  <c r="K39" i="19"/>
  <c r="K11" i="24"/>
  <c r="K72" i="24" s="1"/>
  <c r="M35" i="19"/>
  <c r="M35" i="22"/>
  <c r="M17" i="19"/>
  <c r="M17" i="22"/>
  <c r="M23" i="22"/>
  <c r="M85" i="4"/>
  <c r="J71" i="24"/>
  <c r="I71" i="24"/>
  <c r="G25" i="19"/>
  <c r="G25" i="22"/>
  <c r="G17" i="19"/>
  <c r="G17" i="22"/>
  <c r="G23" i="22"/>
  <c r="M25" i="19"/>
  <c r="M25" i="22"/>
  <c r="G39" i="19"/>
  <c r="G39" i="22"/>
  <c r="G11" i="24"/>
  <c r="G27" i="19"/>
  <c r="G27" i="22"/>
  <c r="G15" i="24"/>
  <c r="G49" i="22"/>
  <c r="G21" i="19"/>
  <c r="G21" i="22"/>
  <c r="J9" i="24"/>
  <c r="J92" i="4"/>
  <c r="J84" i="4"/>
  <c r="J85" i="4" s="1"/>
  <c r="M15" i="24"/>
  <c r="M49" i="22"/>
  <c r="J37" i="22"/>
  <c r="J37" i="19"/>
  <c r="L31" i="20"/>
  <c r="L31" i="19"/>
  <c r="M7" i="19"/>
  <c r="N7" i="20"/>
  <c r="N7" i="19"/>
  <c r="H41" i="20"/>
  <c r="H41" i="19"/>
  <c r="N11" i="20"/>
  <c r="N11" i="19"/>
  <c r="G23" i="19"/>
  <c r="J35" i="19"/>
  <c r="J35" i="22"/>
  <c r="K23" i="22"/>
  <c r="K23" i="19"/>
  <c r="H27" i="20"/>
  <c r="H27" i="19"/>
  <c r="M47" i="19"/>
  <c r="I11" i="22"/>
  <c r="I11" i="19"/>
  <c r="J11" i="20"/>
  <c r="J11" i="19"/>
  <c r="J11" i="22"/>
  <c r="K47" i="19"/>
  <c r="K47" i="22"/>
  <c r="F11" i="20"/>
  <c r="F11" i="19"/>
  <c r="L49" i="19"/>
  <c r="L49" i="20"/>
  <c r="F45" i="20"/>
  <c r="F45" i="19"/>
  <c r="M68" i="4"/>
  <c r="M69" i="4" s="1"/>
  <c r="M70" i="4"/>
  <c r="M71" i="4" s="1"/>
  <c r="M66" i="4"/>
  <c r="M5" i="19"/>
  <c r="M74" i="4"/>
  <c r="M75" i="4" s="1"/>
  <c r="M67" i="4"/>
  <c r="M72" i="4"/>
  <c r="M73" i="4" s="1"/>
  <c r="I45" i="19"/>
  <c r="I45" i="22"/>
  <c r="J25" i="22"/>
  <c r="J25" i="19"/>
  <c r="H31" i="19"/>
  <c r="H31" i="20"/>
  <c r="H29" i="19"/>
  <c r="H29" i="20"/>
  <c r="I7" i="22"/>
  <c r="I7" i="19"/>
  <c r="M13" i="19"/>
  <c r="N13" i="20"/>
  <c r="N13" i="19"/>
  <c r="F9" i="20"/>
  <c r="F9" i="19"/>
  <c r="I9" i="22"/>
  <c r="I9" i="19"/>
  <c r="G72" i="4"/>
  <c r="G73" i="4" s="1"/>
  <c r="E6" i="23" s="1"/>
  <c r="G67" i="4"/>
  <c r="B6" i="23" s="1"/>
  <c r="G5" i="19"/>
  <c r="G74" i="4"/>
  <c r="G75" i="4" s="1"/>
  <c r="F6" i="23" s="1"/>
  <c r="G70" i="4"/>
  <c r="G71" i="4" s="1"/>
  <c r="D6" i="23" s="1"/>
  <c r="G68" i="4"/>
  <c r="G69" i="4" s="1"/>
  <c r="C6" i="23" s="1"/>
  <c r="H5" i="19"/>
  <c r="H5" i="20"/>
  <c r="M45" i="19"/>
  <c r="G45" i="19"/>
  <c r="I49" i="19"/>
  <c r="I49" i="22"/>
  <c r="L19" i="20"/>
  <c r="L19" i="19"/>
  <c r="L27" i="19"/>
  <c r="L27" i="20"/>
  <c r="J39" i="22"/>
  <c r="J39" i="19"/>
  <c r="K31" i="22"/>
  <c r="K31" i="19"/>
  <c r="L39" i="20"/>
  <c r="L39" i="19"/>
  <c r="G11" i="19"/>
  <c r="J43" i="22"/>
  <c r="J43" i="20"/>
  <c r="J43" i="19"/>
  <c r="K43" i="22"/>
  <c r="K43" i="19"/>
  <c r="H9" i="20"/>
  <c r="H9" i="19"/>
  <c r="M11" i="19"/>
  <c r="G7" i="19"/>
  <c r="H7" i="19"/>
  <c r="H7" i="20"/>
  <c r="H23" i="19"/>
  <c r="H23" i="20"/>
  <c r="N5" i="20"/>
  <c r="N5" i="19"/>
  <c r="J66" i="4"/>
  <c r="J67" i="4" s="1"/>
  <c r="J68" i="4"/>
  <c r="J69" i="4" s="1"/>
  <c r="J70" i="4"/>
  <c r="J5" i="19"/>
  <c r="J5" i="22"/>
  <c r="J74" i="4"/>
  <c r="J75" i="4" s="1"/>
  <c r="J5" i="20"/>
  <c r="J72" i="4"/>
  <c r="J73" i="4" s="1"/>
  <c r="K45" i="22"/>
  <c r="K45" i="19"/>
  <c r="L11" i="19"/>
  <c r="L11" i="20"/>
  <c r="G108" i="4"/>
  <c r="G109" i="4" s="1"/>
  <c r="W6" i="23" s="1"/>
  <c r="G102" i="4"/>
  <c r="G103" i="4" s="1"/>
  <c r="T6" i="23" s="1"/>
  <c r="G106" i="4"/>
  <c r="G107" i="4" s="1"/>
  <c r="V6" i="23" s="1"/>
  <c r="G104" i="4"/>
  <c r="G105" i="4" s="1"/>
  <c r="U6" i="23" s="1"/>
  <c r="G41" i="19"/>
  <c r="G110" i="4"/>
  <c r="G111" i="4" s="1"/>
  <c r="X6" i="23" s="1"/>
  <c r="K9" i="19"/>
  <c r="K9" i="22"/>
  <c r="L9" i="19"/>
  <c r="L9" i="20"/>
  <c r="J19" i="22"/>
  <c r="J19" i="19"/>
  <c r="I72" i="4"/>
  <c r="I73" i="4" s="1"/>
  <c r="E15" i="23" s="1"/>
  <c r="I68" i="4"/>
  <c r="I69" i="4" s="1"/>
  <c r="C15" i="23" s="1"/>
  <c r="I5" i="19"/>
  <c r="I5" i="22"/>
  <c r="I70" i="4"/>
  <c r="I71" i="4" s="1"/>
  <c r="D15" i="23" s="1"/>
  <c r="I74" i="4"/>
  <c r="I75" i="4" s="1"/>
  <c r="F15" i="23" s="1"/>
  <c r="I66" i="4"/>
  <c r="I67" i="4" s="1"/>
  <c r="B15" i="23" s="1"/>
  <c r="G31" i="19"/>
  <c r="H19" i="20"/>
  <c r="H19" i="19"/>
  <c r="M110" i="4"/>
  <c r="M104" i="4"/>
  <c r="M105" i="4" s="1"/>
  <c r="M102" i="4"/>
  <c r="M103" i="4" s="1"/>
  <c r="M41" i="19"/>
  <c r="M108" i="4"/>
  <c r="M109" i="4" s="1"/>
  <c r="M106" i="4"/>
  <c r="M107" i="4" s="1"/>
  <c r="L45" i="20"/>
  <c r="L45" i="19"/>
  <c r="J33" i="22"/>
  <c r="J33" i="19"/>
  <c r="J17" i="22"/>
  <c r="J17" i="19"/>
  <c r="H39" i="20"/>
  <c r="H39" i="19"/>
  <c r="J21" i="22"/>
  <c r="J21" i="19"/>
  <c r="N9" i="20"/>
  <c r="N9" i="19"/>
  <c r="L5" i="19"/>
  <c r="L5" i="20"/>
  <c r="G49" i="19"/>
  <c r="H49" i="19"/>
  <c r="H49" i="20"/>
  <c r="F41" i="20"/>
  <c r="F41" i="19"/>
  <c r="N43" i="20"/>
  <c r="N43" i="19"/>
  <c r="G13" i="19"/>
  <c r="H13" i="19"/>
  <c r="H13" i="20"/>
  <c r="F49" i="20"/>
  <c r="F49" i="19"/>
  <c r="H43" i="20"/>
  <c r="H43" i="19"/>
  <c r="H35" i="20"/>
  <c r="H35" i="19"/>
  <c r="N23" i="20"/>
  <c r="N23" i="19"/>
  <c r="M23" i="19"/>
  <c r="H11" i="20"/>
  <c r="H11" i="19"/>
  <c r="M9" i="19"/>
  <c r="I13" i="22"/>
  <c r="I13" i="19"/>
  <c r="M43" i="19"/>
  <c r="G47" i="19"/>
  <c r="I41" i="22"/>
  <c r="I106" i="4"/>
  <c r="I107" i="4" s="1"/>
  <c r="V15" i="23" s="1"/>
  <c r="I41" i="19"/>
  <c r="I104" i="4"/>
  <c r="I105" i="4" s="1"/>
  <c r="U15" i="23" s="1"/>
  <c r="I108" i="4"/>
  <c r="I109" i="4" s="1"/>
  <c r="W15" i="23" s="1"/>
  <c r="I110" i="4"/>
  <c r="I111" i="4" s="1"/>
  <c r="X15" i="23" s="1"/>
  <c r="I102" i="4"/>
  <c r="I103" i="4" s="1"/>
  <c r="T15" i="23" s="1"/>
  <c r="J106" i="4"/>
  <c r="J107" i="4" s="1"/>
  <c r="J41" i="22"/>
  <c r="J41" i="19"/>
  <c r="J41" i="20"/>
  <c r="J104" i="4"/>
  <c r="J105" i="4" s="1"/>
  <c r="J110" i="4"/>
  <c r="J108" i="4"/>
  <c r="J109" i="4" s="1"/>
  <c r="J102" i="4"/>
  <c r="J103" i="4" s="1"/>
  <c r="J31" i="20"/>
  <c r="J31" i="22"/>
  <c r="J31" i="19"/>
  <c r="H21" i="20"/>
  <c r="H21" i="19"/>
  <c r="L15" i="20"/>
  <c r="L15" i="19"/>
  <c r="J13" i="20"/>
  <c r="J13" i="22"/>
  <c r="J13" i="19"/>
  <c r="H17" i="20"/>
  <c r="H17" i="19"/>
  <c r="F23" i="20"/>
  <c r="F23" i="19"/>
  <c r="L35" i="19"/>
  <c r="L35" i="20"/>
  <c r="L29" i="19"/>
  <c r="L29" i="20"/>
  <c r="L41" i="19"/>
  <c r="L41" i="20"/>
  <c r="N41" i="20"/>
  <c r="N41" i="19"/>
  <c r="J7" i="22"/>
  <c r="J7" i="20"/>
  <c r="J7" i="19"/>
  <c r="F7" i="20"/>
  <c r="F7" i="19"/>
  <c r="N45" i="19"/>
  <c r="N45" i="20"/>
  <c r="K49" i="22"/>
  <c r="K49" i="19"/>
  <c r="F47" i="20"/>
  <c r="F47" i="19"/>
  <c r="J47" i="22"/>
  <c r="J47" i="19"/>
  <c r="J47" i="20"/>
  <c r="H25" i="19"/>
  <c r="H25" i="20"/>
  <c r="J71" i="4"/>
  <c r="J9" i="22"/>
  <c r="J9" i="19"/>
  <c r="J9" i="20"/>
  <c r="J27" i="19"/>
  <c r="J27" i="22"/>
  <c r="H37" i="19"/>
  <c r="H37" i="20"/>
  <c r="N31" i="20"/>
  <c r="N31" i="19"/>
  <c r="L37" i="20"/>
  <c r="L37" i="19"/>
  <c r="J15" i="19"/>
  <c r="J15" i="22"/>
  <c r="G43" i="19"/>
  <c r="K5" i="19"/>
  <c r="K68" i="4"/>
  <c r="K69" i="4" s="1"/>
  <c r="K70" i="4"/>
  <c r="K71" i="4" s="1"/>
  <c r="K5" i="22"/>
  <c r="K74" i="4"/>
  <c r="K75" i="4" s="1"/>
  <c r="K66" i="4"/>
  <c r="K67" i="4" s="1"/>
  <c r="K72" i="4"/>
  <c r="K73" i="4" s="1"/>
  <c r="J111" i="4"/>
  <c r="J49" i="20"/>
  <c r="J49" i="22"/>
  <c r="J49" i="19"/>
  <c r="H47" i="19"/>
  <c r="H47" i="20"/>
  <c r="I47" i="19"/>
  <c r="I47" i="22"/>
  <c r="N49" i="20"/>
  <c r="N49" i="19"/>
  <c r="I31" i="22"/>
  <c r="I31" i="19"/>
  <c r="F13" i="20"/>
  <c r="F13" i="19"/>
  <c r="L33" i="19"/>
  <c r="L33" i="20"/>
  <c r="H33" i="20"/>
  <c r="H33" i="19"/>
  <c r="F31" i="19"/>
  <c r="F31" i="20"/>
  <c r="H15" i="20"/>
  <c r="H15" i="19"/>
  <c r="I23" i="22"/>
  <c r="I23" i="19"/>
  <c r="J29" i="19"/>
  <c r="J29" i="22"/>
  <c r="I43" i="22"/>
  <c r="I43" i="19"/>
  <c r="G9" i="19"/>
  <c r="L21" i="20"/>
  <c r="L21" i="19"/>
  <c r="L17" i="19"/>
  <c r="L17" i="20"/>
  <c r="L25" i="19"/>
  <c r="L25" i="20"/>
  <c r="L23" i="20"/>
  <c r="L23" i="19"/>
  <c r="M31" i="19"/>
  <c r="H45" i="20"/>
  <c r="H45" i="19"/>
  <c r="J45" i="22"/>
  <c r="J45" i="20"/>
  <c r="J45" i="19"/>
  <c r="L7" i="20"/>
  <c r="L7" i="19"/>
  <c r="K11" i="19"/>
  <c r="K11" i="22"/>
  <c r="K7" i="22"/>
  <c r="K7" i="19"/>
  <c r="K41" i="19"/>
  <c r="K110" i="4"/>
  <c r="K111" i="4" s="1"/>
  <c r="K41" i="22"/>
  <c r="K108" i="4"/>
  <c r="K109" i="4" s="1"/>
  <c r="K102" i="4"/>
  <c r="K103" i="4" s="1"/>
  <c r="K104" i="4"/>
  <c r="K105" i="4" s="1"/>
  <c r="K106" i="4"/>
  <c r="K107" i="4" s="1"/>
  <c r="M49" i="19"/>
  <c r="M111" i="4"/>
  <c r="J23" i="22"/>
  <c r="J23" i="19"/>
  <c r="J23" i="20"/>
  <c r="L47" i="20"/>
  <c r="L47" i="19"/>
  <c r="N47" i="20"/>
  <c r="N47" i="19"/>
  <c r="L13" i="20"/>
  <c r="L13" i="19"/>
  <c r="L43" i="20"/>
  <c r="L43" i="19"/>
  <c r="K13" i="22"/>
  <c r="K13" i="19"/>
  <c r="F5" i="20"/>
  <c r="F5" i="19"/>
  <c r="F43" i="20"/>
  <c r="F43" i="19"/>
  <c r="I80" i="4"/>
  <c r="I81" i="4" s="1"/>
  <c r="I15" i="23" s="1"/>
  <c r="I15" i="25" s="1"/>
  <c r="J98" i="4"/>
  <c r="J99" i="4" s="1"/>
  <c r="J82" i="4"/>
  <c r="J83" i="4" s="1"/>
  <c r="J96" i="4"/>
  <c r="J97" i="4" s="1"/>
  <c r="J80" i="4"/>
  <c r="J81" i="4" s="1"/>
  <c r="J78" i="4"/>
  <c r="J79" i="4" s="1"/>
  <c r="J76" i="4"/>
  <c r="J77" i="4" s="1"/>
  <c r="J88" i="4"/>
  <c r="J89" i="4" s="1"/>
  <c r="J86" i="4"/>
  <c r="J87" i="4" s="1"/>
  <c r="J94" i="4"/>
  <c r="J95" i="4" s="1"/>
  <c r="J90" i="4"/>
  <c r="J91" i="4" s="1"/>
  <c r="J100" i="4"/>
  <c r="J101" i="4" s="1"/>
  <c r="G78" i="4"/>
  <c r="G79" i="4" s="1"/>
  <c r="H6" i="23" s="1"/>
  <c r="H6" i="25" s="1"/>
  <c r="F21" i="19"/>
  <c r="I21" i="22"/>
  <c r="I17" i="22"/>
  <c r="K21" i="22"/>
  <c r="I19" i="22"/>
  <c r="J27" i="20"/>
  <c r="J25" i="20"/>
  <c r="F33" i="20"/>
  <c r="F33" i="19"/>
  <c r="J39" i="20"/>
  <c r="J17" i="20"/>
  <c r="J35" i="20"/>
  <c r="F29" i="20"/>
  <c r="F29" i="19"/>
  <c r="F35" i="20"/>
  <c r="F35" i="19"/>
  <c r="K35" i="22"/>
  <c r="I15" i="22"/>
  <c r="I90" i="4"/>
  <c r="I91" i="4" s="1"/>
  <c r="N15" i="23" s="1"/>
  <c r="N15" i="25" s="1"/>
  <c r="I96" i="4"/>
  <c r="I97" i="4" s="1"/>
  <c r="Q15" i="23" s="1"/>
  <c r="Q15" i="25" s="1"/>
  <c r="I88" i="4"/>
  <c r="I89" i="4" s="1"/>
  <c r="M15" i="23" s="1"/>
  <c r="M15" i="25" s="1"/>
  <c r="I86" i="4"/>
  <c r="I87" i="4" s="1"/>
  <c r="L15" i="23" s="1"/>
  <c r="L15" i="25" s="1"/>
  <c r="I82" i="4"/>
  <c r="I83" i="4" s="1"/>
  <c r="J15" i="23" s="1"/>
  <c r="J15" i="25" s="1"/>
  <c r="I100" i="4"/>
  <c r="I101" i="4" s="1"/>
  <c r="S15" i="23" s="1"/>
  <c r="S15" i="25" s="1"/>
  <c r="I98" i="4"/>
  <c r="I99" i="4" s="1"/>
  <c r="R15" i="23" s="1"/>
  <c r="R15" i="25" s="1"/>
  <c r="I78" i="4"/>
  <c r="I79" i="4" s="1"/>
  <c r="H15" i="23" s="1"/>
  <c r="H15" i="25" s="1"/>
  <c r="I94" i="4"/>
  <c r="I95" i="4" s="1"/>
  <c r="P15" i="23" s="1"/>
  <c r="P15" i="25" s="1"/>
  <c r="I76" i="4"/>
  <c r="I77" i="4" s="1"/>
  <c r="G15" i="23" s="1"/>
  <c r="G15" i="25" s="1"/>
  <c r="G100" i="4"/>
  <c r="G101" i="4" s="1"/>
  <c r="S6" i="23" s="1"/>
  <c r="S6" i="25" s="1"/>
  <c r="G80" i="4"/>
  <c r="G81" i="4" s="1"/>
  <c r="I6" i="23" s="1"/>
  <c r="I6" i="25" s="1"/>
  <c r="G98" i="4"/>
  <c r="G99" i="4" s="1"/>
  <c r="R6" i="23" s="1"/>
  <c r="R6" i="25" s="1"/>
  <c r="G96" i="4"/>
  <c r="G97" i="4" s="1"/>
  <c r="Q6" i="23" s="1"/>
  <c r="Q6" i="25" s="1"/>
  <c r="G76" i="4"/>
  <c r="G77" i="4" s="1"/>
  <c r="G94" i="4"/>
  <c r="G95" i="4" s="1"/>
  <c r="P6" i="23" s="1"/>
  <c r="P6" i="25" s="1"/>
  <c r="G90" i="4"/>
  <c r="G91" i="4" s="1"/>
  <c r="N6" i="23" s="1"/>
  <c r="N6" i="25" s="1"/>
  <c r="G86" i="4"/>
  <c r="G87" i="4" s="1"/>
  <c r="L6" i="23" s="1"/>
  <c r="L6" i="25" s="1"/>
  <c r="G88" i="4"/>
  <c r="G89" i="4" s="1"/>
  <c r="M6" i="23" s="1"/>
  <c r="M6" i="25" s="1"/>
  <c r="G82" i="4"/>
  <c r="G83" i="4" s="1"/>
  <c r="J6" i="23" s="1"/>
  <c r="J6" i="25" s="1"/>
  <c r="K25" i="22"/>
  <c r="I29" i="22"/>
  <c r="J33" i="20"/>
  <c r="K33" i="22"/>
  <c r="K29" i="22"/>
  <c r="F19" i="20"/>
  <c r="F19" i="19"/>
  <c r="F25" i="20"/>
  <c r="F25" i="19"/>
  <c r="K39" i="22"/>
  <c r="F15" i="19"/>
  <c r="F39" i="20"/>
  <c r="F39" i="19"/>
  <c r="J19" i="20"/>
  <c r="K27" i="22"/>
  <c r="I33" i="22"/>
  <c r="F37" i="20"/>
  <c r="F37" i="19"/>
  <c r="I35" i="22"/>
  <c r="J15" i="20"/>
  <c r="I25" i="22"/>
  <c r="K19" i="22"/>
  <c r="K15" i="22"/>
  <c r="K82" i="4"/>
  <c r="K83" i="4" s="1"/>
  <c r="K100" i="4"/>
  <c r="K101" i="4" s="1"/>
  <c r="K80" i="4"/>
  <c r="K81" i="4" s="1"/>
  <c r="K98" i="4"/>
  <c r="K99" i="4" s="1"/>
  <c r="K78" i="4"/>
  <c r="K79" i="4" s="1"/>
  <c r="K88" i="4"/>
  <c r="K89" i="4" s="1"/>
  <c r="K96" i="4"/>
  <c r="K97" i="4" s="1"/>
  <c r="K94" i="4"/>
  <c r="K95" i="4" s="1"/>
  <c r="K90" i="4"/>
  <c r="K91" i="4" s="1"/>
  <c r="K86" i="4"/>
  <c r="K87" i="4" s="1"/>
  <c r="K76" i="4"/>
  <c r="K77" i="4" s="1"/>
  <c r="F17" i="20"/>
  <c r="F17" i="19"/>
  <c r="K17" i="22"/>
  <c r="J37" i="20"/>
  <c r="I37" i="22"/>
  <c r="J29" i="20"/>
  <c r="I39" i="22"/>
  <c r="J21" i="20"/>
  <c r="K37" i="22"/>
  <c r="I27" i="22"/>
  <c r="F27" i="20"/>
  <c r="F27" i="19"/>
  <c r="N21" i="20"/>
  <c r="N27" i="20"/>
  <c r="N37" i="20"/>
  <c r="N35" i="20"/>
  <c r="N17" i="20"/>
  <c r="N29" i="20"/>
  <c r="N33" i="20"/>
  <c r="N15" i="20"/>
  <c r="N19" i="20"/>
  <c r="N25" i="20"/>
  <c r="N39" i="20"/>
  <c r="M86" i="4"/>
  <c r="M87" i="4" s="1"/>
  <c r="M78" i="4"/>
  <c r="M79" i="4" s="1"/>
  <c r="M82" i="4"/>
  <c r="M83" i="4" s="1"/>
  <c r="M76" i="4"/>
  <c r="M77" i="4" s="1"/>
  <c r="M100" i="4"/>
  <c r="M101" i="4" s="1"/>
  <c r="M80" i="4"/>
  <c r="M81" i="4" s="1"/>
  <c r="M98" i="4"/>
  <c r="M99" i="4" s="1"/>
  <c r="M96" i="4"/>
  <c r="M97" i="4" s="1"/>
  <c r="M94" i="4"/>
  <c r="M95" i="4" s="1"/>
  <c r="M90" i="4"/>
  <c r="M91" i="4" s="1"/>
  <c r="M88" i="4"/>
  <c r="M89" i="4" s="1"/>
  <c r="U20" i="4"/>
  <c r="G72" i="24" l="1"/>
  <c r="M72" i="24"/>
  <c r="K6" i="25"/>
  <c r="K7" i="23"/>
  <c r="K15" i="25"/>
  <c r="K16" i="23"/>
  <c r="K16" i="25" s="1"/>
  <c r="O15" i="25"/>
  <c r="O16" i="23"/>
  <c r="O16" i="25" s="1"/>
  <c r="F15" i="25"/>
  <c r="F16" i="23"/>
  <c r="F16" i="25" s="1"/>
  <c r="X6" i="25"/>
  <c r="X7" i="23"/>
  <c r="D15" i="25"/>
  <c r="D16" i="23"/>
  <c r="D16" i="25" s="1"/>
  <c r="M71" i="24"/>
  <c r="C6" i="25"/>
  <c r="C7" i="23"/>
  <c r="T15" i="25"/>
  <c r="T16" i="23"/>
  <c r="T16" i="25" s="1"/>
  <c r="V6" i="25"/>
  <c r="V7" i="23"/>
  <c r="D6" i="25"/>
  <c r="D7" i="23"/>
  <c r="F6" i="25"/>
  <c r="F7" i="23"/>
  <c r="W15" i="25"/>
  <c r="W16" i="23"/>
  <c r="W16" i="25" s="1"/>
  <c r="E15" i="25"/>
  <c r="E16" i="23"/>
  <c r="E16" i="25" s="1"/>
  <c r="W6" i="25"/>
  <c r="W7" i="23"/>
  <c r="U15" i="25"/>
  <c r="U16" i="23"/>
  <c r="U16" i="25" s="1"/>
  <c r="B6" i="25"/>
  <c r="B7" i="23"/>
  <c r="O6" i="25"/>
  <c r="O7" i="23"/>
  <c r="U6" i="25"/>
  <c r="U7" i="23"/>
  <c r="E6" i="25"/>
  <c r="E7" i="23"/>
  <c r="T6" i="25"/>
  <c r="T7" i="23"/>
  <c r="V15" i="25"/>
  <c r="V16" i="23"/>
  <c r="V16" i="25" s="1"/>
  <c r="C15" i="25"/>
  <c r="C16" i="23"/>
  <c r="C16" i="25" s="1"/>
  <c r="X15" i="25"/>
  <c r="X16" i="23"/>
  <c r="X16" i="25" s="1"/>
  <c r="B15" i="25"/>
  <c r="B16" i="23"/>
  <c r="B16" i="25" s="1"/>
  <c r="G6" i="23"/>
  <c r="G6" i="25" s="1"/>
  <c r="P16" i="23"/>
  <c r="P16" i="25" s="1"/>
  <c r="R16" i="23"/>
  <c r="R16" i="25" s="1"/>
  <c r="Q16" i="23"/>
  <c r="Q16" i="25" s="1"/>
  <c r="L16" i="23"/>
  <c r="L16" i="25" s="1"/>
  <c r="I16" i="23"/>
  <c r="I16" i="25" s="1"/>
  <c r="J16" i="23"/>
  <c r="J16" i="25" s="1"/>
  <c r="Q7" i="23"/>
  <c r="Q7" i="25" s="1"/>
  <c r="Q19" i="25" s="1"/>
  <c r="R7" i="23"/>
  <c r="R7" i="25" s="1"/>
  <c r="L7" i="23"/>
  <c r="L7" i="25" s="1"/>
  <c r="P7" i="23"/>
  <c r="P7" i="25" s="1"/>
  <c r="G16" i="23"/>
  <c r="G16" i="25" s="1"/>
  <c r="M16" i="23"/>
  <c r="M16" i="25" s="1"/>
  <c r="S16" i="23"/>
  <c r="S16" i="25" s="1"/>
  <c r="J7" i="23"/>
  <c r="J7" i="25" s="1"/>
  <c r="H7" i="23"/>
  <c r="H7" i="25" s="1"/>
  <c r="H16" i="23"/>
  <c r="H16" i="25" s="1"/>
  <c r="N16" i="23"/>
  <c r="N16" i="25" s="1"/>
  <c r="I7" i="23"/>
  <c r="I7" i="25" s="1"/>
  <c r="S7" i="23"/>
  <c r="S7" i="25" s="1"/>
  <c r="S19" i="25" s="1"/>
  <c r="N5" i="24"/>
  <c r="N15" i="24"/>
  <c r="N7" i="23"/>
  <c r="N7" i="25" s="1"/>
  <c r="M7" i="23"/>
  <c r="M7" i="25" s="1"/>
  <c r="R19" i="25" l="1"/>
  <c r="I19" i="25"/>
  <c r="M19" i="25"/>
  <c r="N19" i="25"/>
  <c r="P19" i="25"/>
  <c r="L19" i="25"/>
  <c r="V7" i="25"/>
  <c r="V19" i="25" s="1"/>
  <c r="V19" i="23"/>
  <c r="F7" i="25"/>
  <c r="F19" i="25" s="1"/>
  <c r="F19" i="23"/>
  <c r="D7" i="25"/>
  <c r="D19" i="25" s="1"/>
  <c r="D19" i="23"/>
  <c r="O7" i="25"/>
  <c r="O19" i="25" s="1"/>
  <c r="O19" i="23"/>
  <c r="T7" i="25"/>
  <c r="T19" i="25" s="1"/>
  <c r="T19" i="23"/>
  <c r="E7" i="25"/>
  <c r="E19" i="25" s="1"/>
  <c r="E19" i="23"/>
  <c r="X7" i="25"/>
  <c r="X19" i="25" s="1"/>
  <c r="X19" i="23"/>
  <c r="C7" i="25"/>
  <c r="C19" i="25" s="1"/>
  <c r="C19" i="23"/>
  <c r="K7" i="25"/>
  <c r="K19" i="25" s="1"/>
  <c r="K19" i="23"/>
  <c r="B7" i="25"/>
  <c r="B19" i="25" s="1"/>
  <c r="B19" i="23"/>
  <c r="W7" i="25"/>
  <c r="W19" i="25" s="1"/>
  <c r="W19" i="23"/>
  <c r="U7" i="25"/>
  <c r="U19" i="25" s="1"/>
  <c r="U19" i="23"/>
  <c r="J19" i="25"/>
  <c r="H19" i="25"/>
  <c r="I35" i="24"/>
  <c r="M35" i="24"/>
  <c r="K35" i="24"/>
  <c r="J35" i="24"/>
  <c r="G32" i="24"/>
  <c r="G31" i="24" s="1"/>
  <c r="J32" i="24"/>
  <c r="G7" i="23"/>
  <c r="G7" i="25" s="1"/>
  <c r="G19" i="25" s="1"/>
  <c r="M19" i="23"/>
  <c r="L19" i="23"/>
  <c r="P19" i="23"/>
  <c r="H19" i="23"/>
  <c r="N19" i="23"/>
  <c r="J19" i="23"/>
  <c r="S19" i="23"/>
  <c r="I19" i="23"/>
  <c r="R19" i="23"/>
  <c r="Q19" i="23"/>
  <c r="K32" i="24"/>
  <c r="M32" i="24"/>
  <c r="G33" i="24" l="1"/>
  <c r="K34" i="24"/>
  <c r="K36" i="24"/>
  <c r="M34" i="24"/>
  <c r="M36" i="24"/>
  <c r="M33" i="24"/>
  <c r="M31" i="24"/>
  <c r="K31" i="24"/>
  <c r="K33" i="24"/>
  <c r="J34" i="24"/>
  <c r="J36" i="24"/>
  <c r="G36" i="24"/>
  <c r="G34" i="24"/>
  <c r="I34" i="24"/>
  <c r="I36" i="24"/>
  <c r="I31" i="24"/>
  <c r="I33" i="24"/>
  <c r="J31" i="24"/>
  <c r="J33" i="24"/>
  <c r="G19" i="23"/>
</calcChain>
</file>

<file path=xl/sharedStrings.xml><?xml version="1.0" encoding="utf-8"?>
<sst xmlns="http://schemas.openxmlformats.org/spreadsheetml/2006/main" count="393" uniqueCount="139">
  <si>
    <t>LOCATION</t>
  </si>
  <si>
    <t>Station</t>
  </si>
  <si>
    <t>Offsets</t>
  </si>
  <si>
    <t>PVI Station =</t>
  </si>
  <si>
    <t>PVC Station</t>
  </si>
  <si>
    <t>PVI Elevation =</t>
  </si>
  <si>
    <t>PVC Elevation</t>
  </si>
  <si>
    <t xml:space="preserve">V.C. Length= </t>
  </si>
  <si>
    <t>begin grade (%)</t>
  </si>
  <si>
    <t>PVT Station</t>
  </si>
  <si>
    <t>end grade (%)</t>
  </si>
  <si>
    <t>PVT Elevation</t>
  </si>
  <si>
    <t>R</t>
  </si>
  <si>
    <t>Cross Slope</t>
  </si>
  <si>
    <t>Skew</t>
  </si>
  <si>
    <t>Beam</t>
  </si>
  <si>
    <t>Composite, no FWS</t>
  </si>
  <si>
    <t>Exterior</t>
  </si>
  <si>
    <t>Interior</t>
  </si>
  <si>
    <t>FINAL DECK SURFACE STATIONS AND ELEVATIONS</t>
  </si>
  <si>
    <t xml:space="preserve">NOTE: </t>
  </si>
  <si>
    <t>FINAL DECK SURFACE ELEVATIONS SHOWN REPRESENT THE DECK SURFACE LOCATION AFTER ALL ANTICIPATED DEAD LOAD DEFLECTIONS HAVE OCCURRED.</t>
  </si>
  <si>
    <t>SPAN 1</t>
  </si>
  <si>
    <t>SCREED STATIONS AND ELEVATIONS</t>
  </si>
  <si>
    <t>PROFILE GRADE AND CROWN</t>
  </si>
  <si>
    <t>TOTAL CAMBER REQUIRED</t>
  </si>
  <si>
    <t>SCREED ELEVATIONS SHOWN REPRESENT THE THEORETICAL DECK SURFACE LOCATION PRIOR TO DEFLECTIONS CAUSED BY DECK PLACEMENT AND OTHER ANTICIPATED DEAD LOADS.</t>
  </si>
  <si>
    <t>Approach Slab Elevations</t>
  </si>
  <si>
    <t>Begin Rear Approach</t>
  </si>
  <si>
    <t>End Rear Approach</t>
  </si>
  <si>
    <t>Begin Forward Approach</t>
  </si>
  <si>
    <t>End Forward Approach</t>
  </si>
  <si>
    <t>TOP OF HAUNCH STATIONS AND ELEVATIONS</t>
  </si>
  <si>
    <t>PROFILE GRADE</t>
  </si>
  <si>
    <t>DEFLECTION DUE TO WEIGHT OF STEEL</t>
  </si>
  <si>
    <t>DEFLECTION DUE TO REMAINING DEAD LOAD</t>
  </si>
  <si>
    <t>ADJUSTMENT REQUIRED FOR VERTICAL CURVE</t>
  </si>
  <si>
    <t>CAMBER ADJ. FOR VERT. CURVE</t>
  </si>
  <si>
    <t>STRAIGHT LINE ELEVATION</t>
  </si>
  <si>
    <t>DIFFERENCE BETWEEN VERT. CURVE AND STRAIGHT LINE</t>
  </si>
  <si>
    <t>LEFT EDGE OF DECK</t>
  </si>
  <si>
    <t>RIGHT EDGE OF DECK</t>
  </si>
  <si>
    <t>BEAM SEAT ELEVATIONS</t>
  </si>
  <si>
    <t>deck thickness</t>
  </si>
  <si>
    <t>in</t>
  </si>
  <si>
    <t>beam depth</t>
  </si>
  <si>
    <t>bearing thickness</t>
  </si>
  <si>
    <t>total</t>
  </si>
  <si>
    <t>ft</t>
  </si>
  <si>
    <t>load plate thickness</t>
  </si>
  <si>
    <t>min HP section</t>
  </si>
  <si>
    <t>MINIMUM BEAM SEAT ELEVATION</t>
  </si>
  <si>
    <t>haunch</t>
  </si>
  <si>
    <t>PROFILE GRADE and CL Beam 3</t>
  </si>
  <si>
    <t>LEFT EDGE OF SLAB</t>
  </si>
  <si>
    <t>RIGHT EDGE OF SLAB</t>
  </si>
  <si>
    <t>LEFT TOE OF CURB</t>
  </si>
  <si>
    <t>RIGHT TOE OF CURB</t>
  </si>
  <si>
    <t>SPAN 2</t>
  </si>
  <si>
    <t>Level at offset</t>
  </si>
  <si>
    <t>CL BEAM 1</t>
  </si>
  <si>
    <t>CL BEAM 2</t>
  </si>
  <si>
    <t>CL Beam 4</t>
  </si>
  <si>
    <t>CL BEAM 5</t>
  </si>
  <si>
    <t>CL REAR BRG. PIER 1</t>
  </si>
  <si>
    <t>CL FWD BRG. PIER 1</t>
  </si>
  <si>
    <t>SPAN 3</t>
  </si>
  <si>
    <t>CL REAR BRG. PIER 2</t>
  </si>
  <si>
    <t>RIGHT TOE OFCURB</t>
  </si>
  <si>
    <t>-</t>
  </si>
  <si>
    <t>CL BEAM 3</t>
  </si>
  <si>
    <t>CL BEAM 4</t>
  </si>
  <si>
    <t>CL BRG. R.A.</t>
  </si>
  <si>
    <t>CL BRG. F.A.</t>
  </si>
  <si>
    <t>CL FWD BRG. PIER 2</t>
  </si>
  <si>
    <t>CL Field Splice #1</t>
  </si>
  <si>
    <t>CL Field Splice #2</t>
  </si>
  <si>
    <t>ext</t>
  </si>
  <si>
    <t>int</t>
  </si>
  <si>
    <t>PROFILE GRADE and CL BEAM 3</t>
  </si>
  <si>
    <t>STRUCTURAL STEEL DEFLECTION AND CAMBER TABLE - B2, B3, B4</t>
  </si>
  <si>
    <t>STRUCTURAL STEEL DEFLECTION AND CAMBER TABLE - BEAMS B1 AND B5</t>
  </si>
  <si>
    <t>CL FIELD SPLICE #1</t>
  </si>
  <si>
    <t>CL FIELD SPLICE #2</t>
  </si>
  <si>
    <t>Slab</t>
  </si>
  <si>
    <t>CL GIRDER 1</t>
  </si>
  <si>
    <t>CL GIRDER 2</t>
  </si>
  <si>
    <t>CL GIRDER 4</t>
  </si>
  <si>
    <t>CL BRG. REAR ABUT.</t>
  </si>
  <si>
    <t>CL BRG. FWD. ABUT.</t>
  </si>
  <si>
    <t>shim plate thickness</t>
  </si>
  <si>
    <t>SPAN 1 &amp; 3 (ABUTMENTS)</t>
  </si>
  <si>
    <t>SPAN 1 &amp; 3 (PIERS)</t>
  </si>
  <si>
    <t>SPAN 2 (PIERS)</t>
  </si>
  <si>
    <t>CL GIRDER 3</t>
  </si>
  <si>
    <t>CL REAR BEARING PIER 1</t>
  </si>
  <si>
    <t>CL FORWARD BEARING PIER 1</t>
  </si>
  <si>
    <t>IN</t>
  </si>
  <si>
    <t>ALL</t>
  </si>
  <si>
    <t>STRUCTURAL STEEL DEFLECTION AND CAMBER TABLE - B2, B3, B4 (INCHES)</t>
  </si>
  <si>
    <t>STRUCTURAL STEEL DEFLECTION AND CAMBER TABLE - BEAMS B1 AND B5 (INCHES)</t>
  </si>
  <si>
    <t>BACK STA. (A)</t>
  </si>
  <si>
    <t>FWD STA. (B)</t>
  </si>
  <si>
    <t>R.A.</t>
  </si>
  <si>
    <t>F.A.</t>
  </si>
  <si>
    <t>LOCAL SLOPE</t>
  </si>
  <si>
    <t xml:space="preserve">HP 10 X 57 </t>
  </si>
  <si>
    <t>DEPTH</t>
  </si>
  <si>
    <t>TAPERED H-PILE TABLE (INCHES)</t>
  </si>
  <si>
    <t>TAPERED SHIM PLATE TABLE (INCHES)</t>
  </si>
  <si>
    <t>SHIM PLATE</t>
  </si>
  <si>
    <t>LOAD PLATE</t>
  </si>
  <si>
    <t>SHIM PLATE CHECK (NOT USED)</t>
  </si>
  <si>
    <t>TAPERED LOAD PLATE TABLE (INCHES)</t>
  </si>
  <si>
    <t>CHECK INTERSETION DETAILS WHEN AVAILABLE</t>
  </si>
  <si>
    <t>TOP OF HAUNCH ELEVATIONS SHOWN REPRESENT THE THEORETICAL LOCATION OF THE BOTTOM OF THE DECK ABOVE THE BEAM HAUNCH PRIOR TO DEFLECTIONS CAUSED BY DECK PLACEMENT AND OTHER ANTICIPATED DEAD LOADS.</t>
  </si>
  <si>
    <t>exterior beam adjustment for non-level  under joint</t>
  </si>
  <si>
    <t>exterior beam adjustment for non-level under joint</t>
  </si>
  <si>
    <t>sta.</t>
  </si>
  <si>
    <t>elev.</t>
  </si>
  <si>
    <t xml:space="preserve">wingwall </t>
  </si>
  <si>
    <t>rear left</t>
  </si>
  <si>
    <t>rear right</t>
  </si>
  <si>
    <t>PIER SEAT ELEVATIONS</t>
  </si>
  <si>
    <t>"A"</t>
  </si>
  <si>
    <t>"B"</t>
  </si>
  <si>
    <t>"C"</t>
  </si>
  <si>
    <t>"D"</t>
  </si>
  <si>
    <t>"E"</t>
  </si>
  <si>
    <t xml:space="preserve">LOCATION </t>
  </si>
  <si>
    <t>PIER 1 ELEVATION</t>
  </si>
  <si>
    <t>PIER 2 ELEVATION</t>
  </si>
  <si>
    <t>CENTER (H)</t>
  </si>
  <si>
    <t>CENTER (C)</t>
  </si>
  <si>
    <t>BACK STA. (D)</t>
  </si>
  <si>
    <t>BACK STA. (G)</t>
  </si>
  <si>
    <t>FWD STA. (I)</t>
  </si>
  <si>
    <t>CENTER (F)</t>
  </si>
  <si>
    <t>FWD STA.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</si>
</sst>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
    <numFmt numFmtId="166" formatCode="0.000"/>
    <numFmt numFmtId="167" formatCode="0.000000000000000"/>
    <numFmt numFmtId="168" formatCode="#\ ??/16"/>
    <numFmt numFmtId="169" formatCode="#\ ?/8"/>
    <numFmt numFmtId="170" formatCode="#\ ?/4"/>
  </numFmts>
  <fonts count="13" x14ac:knownFonts="1">
    <font>
      <sz val="11"/>
      <color theme="1"/>
      <name val="Calibri"/>
      <family val="2"/>
      <scheme val="minor"/>
    </font>
    <font>
      <sz val="10"/>
      <name val="Arial"/>
      <family val="2"/>
    </font>
    <font>
      <sz val="10"/>
      <name val="Arial"/>
      <family val="2"/>
    </font>
    <font>
      <b/>
      <sz val="10"/>
      <name val="Arial"/>
      <family val="2"/>
    </font>
    <font>
      <sz val="11"/>
      <name val="Calibri"/>
      <family val="2"/>
      <scheme val="minor"/>
    </font>
    <font>
      <b/>
      <sz val="14"/>
      <name val="Verdana"/>
      <family val="2"/>
    </font>
    <font>
      <sz val="11"/>
      <name val="Times New Roman"/>
      <family val="1"/>
    </font>
    <font>
      <b/>
      <sz val="14"/>
      <color theme="1"/>
      <name val="Verdana"/>
      <family val="2"/>
    </font>
    <font>
      <sz val="10"/>
      <color theme="1"/>
      <name val="Arial"/>
      <family val="2"/>
    </font>
    <font>
      <b/>
      <sz val="11"/>
      <color theme="1"/>
      <name val="Calibri"/>
      <family val="2"/>
      <scheme val="minor"/>
    </font>
    <font>
      <sz val="11"/>
      <color theme="1"/>
      <name val="Calibri"/>
      <family val="2"/>
      <scheme val="minor"/>
    </font>
    <font>
      <sz val="11"/>
      <name val="Arial"/>
      <family val="2"/>
    </font>
    <font>
      <sz val="12"/>
      <name val="Arial"/>
      <family val="2"/>
    </font>
  </fonts>
  <fills count="4">
    <fill>
      <patternFill patternType="none"/>
    </fill>
    <fill>
      <patternFill patternType="gray125"/>
    </fill>
    <fill>
      <patternFill patternType="solid">
        <fgColor rgb="FFFFFF00"/>
        <bgColor indexed="64"/>
      </patternFill>
    </fill>
    <fill>
      <patternFill patternType="solid">
        <fgColor rgb="FFFFFF00"/>
        <bgColor indexed="22"/>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0" borderId="0"/>
    <xf numFmtId="0" fontId="1" fillId="0" borderId="0"/>
  </cellStyleXfs>
  <cellXfs count="187">
    <xf numFmtId="0" fontId="0" fillId="0" borderId="0" xfId="0"/>
    <xf numFmtId="0" fontId="1" fillId="0" borderId="5" xfId="1" applyFont="1" applyBorder="1" applyAlignment="1">
      <alignment horizontal="center" vertical="center"/>
    </xf>
    <xf numFmtId="0" fontId="0" fillId="0" borderId="0" xfId="0" applyAlignment="1">
      <alignment horizontal="center"/>
    </xf>
    <xf numFmtId="165" fontId="0" fillId="0" borderId="0" xfId="0" applyNumberFormat="1" applyAlignment="1">
      <alignment horizontal="center"/>
    </xf>
    <xf numFmtId="0" fontId="1" fillId="0" borderId="6" xfId="1" applyFont="1" applyBorder="1" applyAlignment="1">
      <alignment horizontal="center" vertical="center"/>
    </xf>
    <xf numFmtId="164" fontId="0" fillId="0" borderId="0" xfId="0" applyNumberFormat="1"/>
    <xf numFmtId="0" fontId="0" fillId="0" borderId="0" xfId="0" applyAlignment="1">
      <alignment horizontal="right"/>
    </xf>
    <xf numFmtId="165" fontId="0" fillId="0" borderId="0" xfId="0" applyNumberFormat="1" applyAlignment="1">
      <alignment horizontal="right"/>
    </xf>
    <xf numFmtId="0" fontId="0" fillId="2" borderId="0" xfId="0" applyFill="1"/>
    <xf numFmtId="2" fontId="4" fillId="2" borderId="0" xfId="0" applyNumberFormat="1" applyFont="1" applyFill="1" applyAlignment="1">
      <alignment horizontal="center"/>
    </xf>
    <xf numFmtId="165" fontId="4" fillId="2" borderId="1" xfId="0" applyNumberFormat="1" applyFont="1" applyFill="1" applyBorder="1" applyAlignment="1">
      <alignment horizontal="right"/>
    </xf>
    <xf numFmtId="0" fontId="4" fillId="3" borderId="1" xfId="0" applyFont="1" applyFill="1" applyBorder="1" applyAlignment="1">
      <alignment horizontal="right"/>
    </xf>
    <xf numFmtId="10" fontId="4" fillId="3" borderId="1" xfId="0" applyNumberFormat="1" applyFont="1" applyFill="1" applyBorder="1" applyAlignment="1">
      <alignment horizontal="right"/>
    </xf>
    <xf numFmtId="165" fontId="4" fillId="2" borderId="0" xfId="0" applyNumberFormat="1" applyFont="1" applyFill="1" applyAlignment="1">
      <alignment horizontal="center"/>
    </xf>
    <xf numFmtId="166" fontId="0" fillId="0" borderId="0" xfId="0" applyNumberFormat="1"/>
    <xf numFmtId="167" fontId="0" fillId="0" borderId="0" xfId="0" applyNumberFormat="1"/>
    <xf numFmtId="0" fontId="1" fillId="0" borderId="0" xfId="1" applyFont="1" applyAlignment="1">
      <alignment horizontal="center" vertical="center" wrapText="1"/>
    </xf>
    <xf numFmtId="0" fontId="6" fillId="0" borderId="0" xfId="2" applyFont="1" applyAlignment="1">
      <alignment horizontal="center" vertical="center"/>
    </xf>
    <xf numFmtId="0" fontId="1" fillId="0" borderId="5" xfId="2" applyBorder="1" applyAlignment="1">
      <alignment horizontal="center" vertical="center"/>
    </xf>
    <xf numFmtId="0" fontId="1" fillId="0" borderId="0" xfId="2" applyAlignment="1">
      <alignment horizontal="center" vertical="center"/>
    </xf>
    <xf numFmtId="165" fontId="1" fillId="0" borderId="12" xfId="2" applyNumberFormat="1" applyBorder="1" applyAlignment="1">
      <alignment horizontal="center" vertical="top"/>
    </xf>
    <xf numFmtId="0" fontId="1" fillId="0" borderId="0" xfId="2" applyAlignment="1">
      <alignment horizontal="center" vertical="top"/>
    </xf>
    <xf numFmtId="2" fontId="1" fillId="0" borderId="10" xfId="2" applyNumberFormat="1" applyBorder="1" applyAlignment="1">
      <alignment horizontal="center"/>
    </xf>
    <xf numFmtId="0" fontId="1" fillId="0" borderId="0" xfId="2" applyAlignment="1">
      <alignment horizontal="center"/>
    </xf>
    <xf numFmtId="2" fontId="1" fillId="0" borderId="14" xfId="2" applyNumberFormat="1" applyBorder="1" applyAlignment="1">
      <alignment horizontal="center"/>
    </xf>
    <xf numFmtId="0" fontId="1" fillId="0" borderId="0" xfId="2" applyAlignment="1">
      <alignment vertical="top" wrapText="1"/>
    </xf>
    <xf numFmtId="2" fontId="1" fillId="0" borderId="13" xfId="2" applyNumberFormat="1" applyBorder="1" applyAlignment="1">
      <alignment horizontal="center"/>
    </xf>
    <xf numFmtId="164" fontId="1" fillId="0" borderId="0" xfId="1" applyNumberFormat="1" applyFont="1" applyAlignment="1">
      <alignment horizontal="center" vertical="center"/>
    </xf>
    <xf numFmtId="164" fontId="1" fillId="0" borderId="0" xfId="1" applyNumberFormat="1" applyFont="1" applyAlignment="1">
      <alignment horizontal="center" vertical="center" wrapText="1"/>
    </xf>
    <xf numFmtId="164" fontId="0" fillId="0" borderId="1" xfId="0" applyNumberFormat="1" applyBorder="1" applyAlignment="1">
      <alignment horizontal="center" vertical="center"/>
    </xf>
    <xf numFmtId="164" fontId="8" fillId="0" borderId="0" xfId="0" applyNumberFormat="1" applyFont="1" applyAlignment="1">
      <alignment horizontal="center" vertical="center"/>
    </xf>
    <xf numFmtId="12" fontId="1" fillId="0" borderId="0" xfId="1" applyNumberFormat="1" applyFont="1" applyAlignment="1">
      <alignment horizontal="center" vertical="center"/>
    </xf>
    <xf numFmtId="0" fontId="0" fillId="0" borderId="1" xfId="0" applyBorder="1" applyAlignment="1">
      <alignment horizontal="center" vertical="center"/>
    </xf>
    <xf numFmtId="0" fontId="1" fillId="0" borderId="1" xfId="1" applyFont="1" applyBorder="1" applyAlignment="1">
      <alignment horizontal="center" vertical="center" wrapText="1"/>
    </xf>
    <xf numFmtId="0" fontId="1" fillId="0" borderId="1" xfId="1" applyFont="1" applyBorder="1" applyAlignment="1">
      <alignment horizontal="center" vertical="center"/>
    </xf>
    <xf numFmtId="0" fontId="0" fillId="0" borderId="1" xfId="0" applyBorder="1" applyAlignment="1">
      <alignment vertical="center" wrapText="1"/>
    </xf>
    <xf numFmtId="0" fontId="9" fillId="0" borderId="0" xfId="0" applyFont="1" applyAlignment="1">
      <alignment horizontal="center"/>
    </xf>
    <xf numFmtId="168" fontId="0" fillId="0" borderId="1" xfId="0" applyNumberFormat="1" applyBorder="1" applyAlignment="1">
      <alignment horizontal="center" vertical="center"/>
    </xf>
    <xf numFmtId="0" fontId="1" fillId="0" borderId="2" xfId="2" applyBorder="1" applyAlignment="1">
      <alignment horizontal="center" vertical="center"/>
    </xf>
    <xf numFmtId="0" fontId="1" fillId="0" borderId="5" xfId="1" applyFont="1" applyBorder="1" applyAlignment="1">
      <alignment horizontal="center" vertical="center" wrapText="1"/>
    </xf>
    <xf numFmtId="165" fontId="1" fillId="0" borderId="11" xfId="2" applyNumberFormat="1" applyBorder="1" applyAlignment="1">
      <alignment horizontal="center" vertical="top"/>
    </xf>
    <xf numFmtId="2" fontId="1" fillId="0" borderId="8" xfId="2" applyNumberFormat="1" applyBorder="1" applyAlignment="1">
      <alignment horizontal="center" vertical="top"/>
    </xf>
    <xf numFmtId="2" fontId="0" fillId="0" borderId="0" xfId="0" applyNumberFormat="1"/>
    <xf numFmtId="0" fontId="0" fillId="0" borderId="0" xfId="0" applyAlignment="1">
      <alignment wrapText="1"/>
    </xf>
    <xf numFmtId="0" fontId="1" fillId="0" borderId="0" xfId="2" applyAlignment="1">
      <alignment horizontal="center" vertical="center" wrapText="1"/>
    </xf>
    <xf numFmtId="0" fontId="1" fillId="0" borderId="0" xfId="2" applyAlignment="1">
      <alignment vertical="center" wrapText="1"/>
    </xf>
    <xf numFmtId="2" fontId="1" fillId="0" borderId="0" xfId="2" applyNumberFormat="1" applyAlignment="1">
      <alignment horizontal="center" vertical="center" wrapText="1"/>
    </xf>
    <xf numFmtId="0" fontId="1" fillId="0" borderId="25" xfId="2" applyBorder="1" applyAlignment="1">
      <alignment horizontal="center" vertical="center" wrapText="1"/>
    </xf>
    <xf numFmtId="2" fontId="0" fillId="0" borderId="0" xfId="0" applyNumberFormat="1" applyAlignment="1">
      <alignment horizontal="center"/>
    </xf>
    <xf numFmtId="0" fontId="9" fillId="0" borderId="0" xfId="0" applyFont="1"/>
    <xf numFmtId="2" fontId="0" fillId="0" borderId="6" xfId="0" applyNumberFormat="1" applyBorder="1" applyAlignment="1">
      <alignment horizontal="center"/>
    </xf>
    <xf numFmtId="2" fontId="1" fillId="0" borderId="5" xfId="2" applyNumberFormat="1" applyBorder="1" applyAlignment="1">
      <alignment horizontal="center" vertical="center" wrapText="1"/>
    </xf>
    <xf numFmtId="2" fontId="1" fillId="0" borderId="11" xfId="2" applyNumberFormat="1" applyBorder="1" applyAlignment="1">
      <alignment horizontal="center" vertical="center" wrapText="1"/>
    </xf>
    <xf numFmtId="2" fontId="1" fillId="0" borderId="8" xfId="2" applyNumberFormat="1" applyBorder="1" applyAlignment="1">
      <alignment horizontal="center" vertical="center" wrapText="1"/>
    </xf>
    <xf numFmtId="0" fontId="5" fillId="0" borderId="0" xfId="2" applyFont="1" applyAlignment="1">
      <alignment vertical="center"/>
    </xf>
    <xf numFmtId="0" fontId="1" fillId="0" borderId="1" xfId="2" applyBorder="1" applyAlignment="1">
      <alignment horizontal="center" vertical="center" wrapText="1"/>
    </xf>
    <xf numFmtId="165" fontId="1" fillId="0" borderId="1" xfId="2" applyNumberFormat="1" applyBorder="1" applyAlignment="1">
      <alignment horizontal="center" vertical="top" wrapText="1"/>
    </xf>
    <xf numFmtId="168" fontId="1" fillId="0" borderId="1" xfId="2" applyNumberFormat="1" applyBorder="1" applyAlignment="1">
      <alignment horizontal="center" vertical="top"/>
    </xf>
    <xf numFmtId="0" fontId="1" fillId="0" borderId="8" xfId="2" applyBorder="1" applyAlignment="1">
      <alignment horizontal="center" vertical="center"/>
    </xf>
    <xf numFmtId="0" fontId="1" fillId="0" borderId="0" xfId="1" applyFont="1" applyAlignment="1">
      <alignment horizontal="center" vertical="center"/>
    </xf>
    <xf numFmtId="0" fontId="1" fillId="0" borderId="0" xfId="2" applyAlignment="1">
      <alignment horizontal="right" vertical="top"/>
    </xf>
    <xf numFmtId="0" fontId="1" fillId="0" borderId="0" xfId="2" applyAlignment="1">
      <alignment horizontal="center" vertical="center" textRotation="90"/>
    </xf>
    <xf numFmtId="2" fontId="1" fillId="0" borderId="0" xfId="2" applyNumberFormat="1" applyAlignment="1">
      <alignment horizontal="center"/>
    </xf>
    <xf numFmtId="2" fontId="1" fillId="0" borderId="6" xfId="2" applyNumberFormat="1" applyBorder="1" applyAlignment="1">
      <alignment horizontal="center"/>
    </xf>
    <xf numFmtId="165" fontId="1" fillId="0" borderId="6" xfId="2" applyNumberFormat="1" applyBorder="1" applyAlignment="1">
      <alignment horizontal="center" vertical="top"/>
    </xf>
    <xf numFmtId="2" fontId="1" fillId="0" borderId="8" xfId="2" applyNumberFormat="1" applyBorder="1" applyAlignment="1">
      <alignment horizontal="center"/>
    </xf>
    <xf numFmtId="0" fontId="0" fillId="0" borderId="1" xfId="0" applyBorder="1" applyAlignment="1">
      <alignment horizontal="center"/>
    </xf>
    <xf numFmtId="165" fontId="0" fillId="0" borderId="1" xfId="0" applyNumberFormat="1" applyBorder="1" applyAlignment="1">
      <alignment horizontal="center"/>
    </xf>
    <xf numFmtId="2" fontId="0" fillId="0" borderId="1" xfId="0" applyNumberFormat="1" applyBorder="1" applyAlignment="1">
      <alignment horizontal="center"/>
    </xf>
    <xf numFmtId="0" fontId="0" fillId="0" borderId="0" xfId="0" applyAlignment="1">
      <alignment horizontal="center" vertical="center" textRotation="90"/>
    </xf>
    <xf numFmtId="164" fontId="0" fillId="0" borderId="1" xfId="0" applyNumberFormat="1" applyBorder="1" applyAlignment="1">
      <alignment horizontal="center"/>
    </xf>
    <xf numFmtId="0" fontId="0" fillId="0" borderId="1" xfId="0" applyBorder="1"/>
    <xf numFmtId="0" fontId="9" fillId="0" borderId="1" xfId="0" applyFont="1" applyBorder="1" applyAlignment="1">
      <alignment horizontal="center"/>
    </xf>
    <xf numFmtId="2" fontId="1" fillId="0" borderId="0" xfId="2" applyNumberFormat="1" applyAlignment="1">
      <alignment horizontal="center" vertical="top"/>
    </xf>
    <xf numFmtId="2" fontId="1" fillId="0" borderId="9" xfId="2" applyNumberFormat="1" applyBorder="1" applyAlignment="1">
      <alignment horizontal="center"/>
    </xf>
    <xf numFmtId="0" fontId="3" fillId="0" borderId="1" xfId="1" applyFont="1" applyBorder="1" applyAlignment="1">
      <alignment horizontal="center" vertical="center" wrapText="1"/>
    </xf>
    <xf numFmtId="0" fontId="1" fillId="0" borderId="15" xfId="1" applyFont="1" applyBorder="1" applyAlignment="1">
      <alignment horizontal="center" vertical="center" wrapText="1"/>
    </xf>
    <xf numFmtId="0" fontId="1" fillId="0" borderId="3" xfId="1" applyFont="1" applyBorder="1" applyAlignment="1">
      <alignment horizontal="center" vertical="center" wrapText="1"/>
    </xf>
    <xf numFmtId="0" fontId="1" fillId="0" borderId="27" xfId="1" applyFont="1" applyBorder="1" applyAlignment="1">
      <alignment horizontal="center" vertical="center" wrapText="1"/>
    </xf>
    <xf numFmtId="165" fontId="1" fillId="0" borderId="27" xfId="2" applyNumberFormat="1" applyBorder="1" applyAlignment="1">
      <alignment horizontal="center" vertical="top"/>
    </xf>
    <xf numFmtId="0" fontId="0" fillId="0" borderId="1" xfId="0" applyBorder="1" applyAlignment="1">
      <alignment horizontal="center" wrapText="1"/>
    </xf>
    <xf numFmtId="168" fontId="0" fillId="0" borderId="0" xfId="0" applyNumberFormat="1" applyAlignment="1">
      <alignment horizontal="center"/>
    </xf>
    <xf numFmtId="2" fontId="1" fillId="0" borderId="6" xfId="2" applyNumberFormat="1" applyBorder="1" applyAlignment="1">
      <alignment horizontal="center" vertical="center" wrapText="1"/>
    </xf>
    <xf numFmtId="0" fontId="9" fillId="0" borderId="0" xfId="0" applyFont="1" applyAlignment="1">
      <alignment horizontal="center" wrapText="1"/>
    </xf>
    <xf numFmtId="165" fontId="1" fillId="0" borderId="0" xfId="2" applyNumberFormat="1" applyAlignment="1">
      <alignment horizontal="center" vertical="top"/>
    </xf>
    <xf numFmtId="0" fontId="1" fillId="0" borderId="9" xfId="1" applyFont="1" applyBorder="1" applyAlignment="1">
      <alignment horizontal="center" vertical="center" wrapText="1"/>
    </xf>
    <xf numFmtId="0" fontId="1" fillId="0" borderId="43" xfId="1" applyFont="1" applyBorder="1" applyAlignment="1">
      <alignment horizontal="center" vertical="center" wrapText="1"/>
    </xf>
    <xf numFmtId="0" fontId="0" fillId="0" borderId="18" xfId="0" applyBorder="1" applyAlignment="1">
      <alignment vertical="center" wrapText="1"/>
    </xf>
    <xf numFmtId="168" fontId="0" fillId="0" borderId="43" xfId="0" applyNumberFormat="1" applyBorder="1" applyAlignment="1">
      <alignment horizontal="center" vertical="center"/>
    </xf>
    <xf numFmtId="0" fontId="0" fillId="0" borderId="19" xfId="0" applyBorder="1" applyAlignment="1">
      <alignment vertical="center" wrapText="1"/>
    </xf>
    <xf numFmtId="168" fontId="0" fillId="0" borderId="44" xfId="0" applyNumberFormat="1" applyBorder="1" applyAlignment="1">
      <alignment horizontal="center" vertical="center"/>
    </xf>
    <xf numFmtId="168" fontId="0" fillId="0" borderId="45" xfId="0" applyNumberFormat="1" applyBorder="1" applyAlignment="1">
      <alignment horizontal="center" vertical="center"/>
    </xf>
    <xf numFmtId="169" fontId="0" fillId="0" borderId="1" xfId="0" applyNumberFormat="1" applyBorder="1" applyAlignment="1">
      <alignment horizontal="center" vertical="center"/>
    </xf>
    <xf numFmtId="169" fontId="0" fillId="0" borderId="44" xfId="0" applyNumberFormat="1" applyBorder="1" applyAlignment="1">
      <alignment horizontal="center" vertical="center"/>
    </xf>
    <xf numFmtId="170" fontId="0" fillId="0" borderId="44" xfId="0" applyNumberFormat="1" applyBorder="1" applyAlignment="1">
      <alignment horizontal="center" vertical="center"/>
    </xf>
    <xf numFmtId="170" fontId="0" fillId="0" borderId="1" xfId="0" applyNumberFormat="1" applyBorder="1" applyAlignment="1">
      <alignment horizontal="center" vertical="center"/>
    </xf>
    <xf numFmtId="170" fontId="0" fillId="0" borderId="0" xfId="0" applyNumberFormat="1"/>
    <xf numFmtId="2" fontId="0" fillId="0" borderId="1" xfId="0" applyNumberFormat="1" applyBorder="1" applyAlignment="1">
      <alignment horizontal="center" wrapText="1"/>
    </xf>
    <xf numFmtId="0" fontId="11" fillId="0" borderId="1" xfId="2" applyFont="1" applyBorder="1" applyAlignment="1">
      <alignment horizontal="center" vertical="center" wrapText="1"/>
    </xf>
    <xf numFmtId="0" fontId="11" fillId="0" borderId="1" xfId="1" applyFont="1" applyBorder="1" applyAlignment="1">
      <alignment horizontal="center" vertical="center" wrapText="1"/>
    </xf>
    <xf numFmtId="170" fontId="11" fillId="0" borderId="1" xfId="2" applyNumberFormat="1" applyFont="1" applyBorder="1" applyAlignment="1">
      <alignment horizontal="center" vertical="center" wrapText="1"/>
    </xf>
    <xf numFmtId="168" fontId="11" fillId="0" borderId="1" xfId="2" applyNumberFormat="1" applyFont="1" applyBorder="1" applyAlignment="1">
      <alignment horizontal="center" vertical="center" wrapText="1"/>
    </xf>
    <xf numFmtId="168" fontId="11" fillId="0" borderId="1" xfId="2" applyNumberFormat="1" applyFont="1" applyBorder="1" applyAlignment="1">
      <alignment horizontal="center" vertical="top"/>
    </xf>
    <xf numFmtId="165" fontId="11" fillId="0" borderId="1" xfId="2" applyNumberFormat="1" applyFont="1" applyBorder="1" applyAlignment="1">
      <alignment horizontal="center" vertical="top" wrapText="1"/>
    </xf>
    <xf numFmtId="168" fontId="0" fillId="0" borderId="1" xfId="0" applyNumberFormat="1" applyBorder="1"/>
    <xf numFmtId="169" fontId="11" fillId="0" borderId="1" xfId="2" applyNumberFormat="1" applyFont="1" applyBorder="1" applyAlignment="1">
      <alignment horizontal="center" vertical="center" wrapText="1"/>
    </xf>
    <xf numFmtId="0" fontId="10" fillId="0" borderId="1" xfId="0" applyFont="1" applyBorder="1"/>
    <xf numFmtId="169" fontId="11" fillId="0" borderId="1" xfId="2" applyNumberFormat="1" applyFont="1" applyBorder="1" applyAlignment="1">
      <alignment horizontal="center" vertical="top"/>
    </xf>
    <xf numFmtId="170" fontId="11" fillId="0" borderId="1" xfId="2" applyNumberFormat="1" applyFont="1" applyBorder="1" applyAlignment="1">
      <alignment horizontal="center" vertical="top"/>
    </xf>
    <xf numFmtId="170" fontId="10" fillId="0" borderId="1" xfId="0" applyNumberFormat="1" applyFont="1" applyBorder="1"/>
    <xf numFmtId="168" fontId="10" fillId="0" borderId="1" xfId="0" applyNumberFormat="1" applyFont="1" applyBorder="1"/>
    <xf numFmtId="0" fontId="0" fillId="0" borderId="1" xfId="0" applyBorder="1" applyAlignment="1">
      <alignment horizontal="center" vertical="center" textRotation="90"/>
    </xf>
    <xf numFmtId="0" fontId="1" fillId="0" borderId="1" xfId="1" applyFont="1" applyBorder="1" applyAlignment="1">
      <alignment horizontal="center" vertical="center" wrapText="1"/>
    </xf>
    <xf numFmtId="0" fontId="1" fillId="0" borderId="1" xfId="1" applyFont="1" applyBorder="1" applyAlignment="1">
      <alignment horizontal="center" vertical="center"/>
    </xf>
    <xf numFmtId="0" fontId="0" fillId="0" borderId="1" xfId="0" applyBorder="1" applyAlignment="1">
      <alignment horizontal="center"/>
    </xf>
    <xf numFmtId="0" fontId="3" fillId="0" borderId="0" xfId="1" applyFont="1" applyAlignment="1">
      <alignment horizontal="center" vertical="center" wrapText="1"/>
    </xf>
    <xf numFmtId="0" fontId="7" fillId="0" borderId="1" xfId="0" applyFont="1" applyBorder="1" applyAlignment="1">
      <alignment horizontal="center"/>
    </xf>
    <xf numFmtId="0" fontId="0" fillId="0" borderId="18" xfId="0" applyBorder="1" applyAlignment="1">
      <alignment horizontal="center"/>
    </xf>
    <xf numFmtId="0" fontId="7" fillId="0" borderId="17" xfId="0" applyFont="1" applyBorder="1" applyAlignment="1">
      <alignment horizontal="center"/>
    </xf>
    <xf numFmtId="0" fontId="7" fillId="0" borderId="41" xfId="0" applyFont="1" applyBorder="1" applyAlignment="1">
      <alignment horizontal="center"/>
    </xf>
    <xf numFmtId="0" fontId="7" fillId="0" borderId="42" xfId="0" applyFont="1" applyBorder="1" applyAlignment="1">
      <alignment horizontal="center"/>
    </xf>
    <xf numFmtId="0" fontId="0" fillId="0" borderId="43" xfId="0" applyBorder="1" applyAlignment="1">
      <alignment horizontal="center"/>
    </xf>
    <xf numFmtId="0" fontId="1" fillId="0" borderId="22" xfId="1" applyFont="1" applyBorder="1" applyAlignment="1">
      <alignment horizontal="center" vertical="center"/>
    </xf>
    <xf numFmtId="0" fontId="1" fillId="0" borderId="23" xfId="1" applyFont="1" applyBorder="1" applyAlignment="1">
      <alignment horizontal="center" vertical="center"/>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11" xfId="2" applyBorder="1" applyAlignment="1">
      <alignment horizontal="center" vertical="center" textRotation="90"/>
    </xf>
    <xf numFmtId="0" fontId="1" fillId="0" borderId="6" xfId="2" applyBorder="1" applyAlignment="1">
      <alignment horizontal="center" vertical="center" textRotation="90"/>
    </xf>
    <xf numFmtId="0" fontId="1" fillId="0" borderId="8" xfId="2" applyBorder="1" applyAlignment="1">
      <alignment horizontal="center" vertical="center" textRotation="90"/>
    </xf>
    <xf numFmtId="0" fontId="1" fillId="0" borderId="22" xfId="1" applyFont="1" applyBorder="1" applyAlignment="1">
      <alignment horizontal="center" vertical="center" wrapText="1"/>
    </xf>
    <xf numFmtId="0" fontId="1" fillId="0" borderId="32" xfId="1" applyFont="1" applyBorder="1" applyAlignment="1">
      <alignment horizontal="center" vertical="center"/>
    </xf>
    <xf numFmtId="0" fontId="1" fillId="0" borderId="17" xfId="1" applyFont="1" applyBorder="1" applyAlignment="1">
      <alignment horizontal="center" vertical="center"/>
    </xf>
    <xf numFmtId="0" fontId="1" fillId="0" borderId="18" xfId="1" applyFont="1" applyBorder="1" applyAlignment="1">
      <alignment horizontal="center" vertical="center"/>
    </xf>
    <xf numFmtId="0" fontId="1" fillId="0" borderId="19" xfId="1" applyFont="1" applyBorder="1" applyAlignment="1">
      <alignment horizontal="center" vertical="center"/>
    </xf>
    <xf numFmtId="0" fontId="1" fillId="0" borderId="0" xfId="2" applyAlignment="1">
      <alignment horizontal="left" vertical="top" wrapText="1" indent="1"/>
    </xf>
    <xf numFmtId="0" fontId="1" fillId="0" borderId="11" xfId="1" applyFont="1" applyBorder="1" applyAlignment="1">
      <alignment horizontal="center" vertical="center"/>
    </xf>
    <xf numFmtId="0" fontId="1" fillId="0" borderId="8" xfId="1" applyFont="1" applyBorder="1" applyAlignment="1">
      <alignment horizontal="center" vertical="center"/>
    </xf>
    <xf numFmtId="0" fontId="5" fillId="0" borderId="2" xfId="2" applyFont="1" applyBorder="1" applyAlignment="1">
      <alignment horizontal="center" vertical="center"/>
    </xf>
    <xf numFmtId="0" fontId="5" fillId="0" borderId="3" xfId="2" applyFont="1" applyBorder="1" applyAlignment="1">
      <alignment horizontal="center" vertical="center"/>
    </xf>
    <xf numFmtId="0" fontId="5" fillId="0" borderId="4" xfId="2" applyFont="1" applyBorder="1" applyAlignment="1">
      <alignment horizontal="center" vertical="center"/>
    </xf>
    <xf numFmtId="0" fontId="1" fillId="0" borderId="21" xfId="2" applyBorder="1" applyAlignment="1">
      <alignment horizontal="center" vertical="center" textRotation="90"/>
    </xf>
    <xf numFmtId="0" fontId="1" fillId="0" borderId="28" xfId="2" applyBorder="1" applyAlignment="1">
      <alignment horizontal="center" vertical="center" textRotation="90"/>
    </xf>
    <xf numFmtId="0" fontId="1" fillId="0" borderId="16" xfId="2" applyBorder="1" applyAlignment="1">
      <alignment horizontal="center" vertical="center" textRotation="90"/>
    </xf>
    <xf numFmtId="0" fontId="1" fillId="0" borderId="11" xfId="1"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1" fillId="0" borderId="0" xfId="1" applyFont="1" applyAlignment="1">
      <alignment horizontal="center" vertical="center" wrapText="1"/>
    </xf>
    <xf numFmtId="0" fontId="1" fillId="0" borderId="0" xfId="1" applyFont="1" applyAlignment="1">
      <alignment horizontal="center" vertical="center"/>
    </xf>
    <xf numFmtId="12" fontId="1" fillId="0" borderId="0" xfId="1" applyNumberFormat="1" applyFont="1" applyAlignment="1">
      <alignment horizontal="center" vertical="center"/>
    </xf>
    <xf numFmtId="0" fontId="0" fillId="0" borderId="18" xfId="0" applyBorder="1" applyAlignment="1">
      <alignment horizontal="center" vertical="center"/>
    </xf>
    <xf numFmtId="0" fontId="0" fillId="0" borderId="26" xfId="0" applyBorder="1" applyAlignment="1">
      <alignment horizontal="center" vertical="center"/>
    </xf>
    <xf numFmtId="0" fontId="0" fillId="0" borderId="19" xfId="0" applyBorder="1" applyAlignment="1">
      <alignment horizontal="center" vertical="center"/>
    </xf>
    <xf numFmtId="0" fontId="0" fillId="0" borderId="31" xfId="0" applyBorder="1" applyAlignment="1">
      <alignment horizontal="center" vertical="center"/>
    </xf>
    <xf numFmtId="0" fontId="9" fillId="0" borderId="1" xfId="0" applyFont="1" applyBorder="1" applyAlignment="1">
      <alignment horizontal="center"/>
    </xf>
    <xf numFmtId="0" fontId="0" fillId="0" borderId="17" xfId="0" applyBorder="1" applyAlignment="1">
      <alignment horizontal="center" vertical="center"/>
    </xf>
    <xf numFmtId="0" fontId="0" fillId="0" borderId="30" xfId="0" applyBorder="1" applyAlignment="1">
      <alignment horizontal="center" vertical="center"/>
    </xf>
    <xf numFmtId="0" fontId="5" fillId="0" borderId="1" xfId="2" applyFont="1" applyBorder="1" applyAlignment="1">
      <alignment horizontal="center" vertical="center"/>
    </xf>
    <xf numFmtId="0" fontId="12" fillId="0" borderId="26" xfId="2" applyFont="1" applyBorder="1" applyAlignment="1">
      <alignment horizontal="center" vertical="center"/>
    </xf>
    <xf numFmtId="0" fontId="12" fillId="0" borderId="29" xfId="2" applyFont="1" applyBorder="1" applyAlignment="1">
      <alignment horizontal="center" vertical="center"/>
    </xf>
    <xf numFmtId="0" fontId="12" fillId="0" borderId="24" xfId="2" applyFont="1" applyBorder="1" applyAlignment="1">
      <alignment horizontal="center" vertical="center"/>
    </xf>
    <xf numFmtId="165" fontId="11" fillId="0" borderId="39" xfId="2" applyNumberFormat="1" applyFont="1" applyBorder="1" applyAlignment="1">
      <alignment horizontal="center" vertical="top" wrapText="1"/>
    </xf>
    <xf numFmtId="165" fontId="11" fillId="0" borderId="13" xfId="2" applyNumberFormat="1" applyFont="1" applyBorder="1" applyAlignment="1">
      <alignment horizontal="center" vertical="top" wrapText="1"/>
    </xf>
    <xf numFmtId="165" fontId="11" fillId="0" borderId="10" xfId="2" applyNumberFormat="1" applyFont="1" applyBorder="1" applyAlignment="1">
      <alignment horizontal="center" vertical="top" wrapText="1"/>
    </xf>
    <xf numFmtId="0" fontId="1" fillId="0" borderId="39" xfId="1" applyFont="1" applyBorder="1" applyAlignment="1">
      <alignment horizontal="center" vertical="center" wrapText="1"/>
    </xf>
    <xf numFmtId="0" fontId="1" fillId="0" borderId="13" xfId="1" applyFont="1" applyBorder="1" applyAlignment="1">
      <alignment horizontal="center" vertical="center" wrapText="1"/>
    </xf>
    <xf numFmtId="0" fontId="1" fillId="0" borderId="10" xfId="1" applyFont="1" applyBorder="1" applyAlignment="1">
      <alignment horizontal="center" vertical="center" wrapText="1"/>
    </xf>
    <xf numFmtId="2" fontId="1" fillId="0" borderId="38" xfId="2" applyNumberFormat="1" applyBorder="1" applyAlignment="1">
      <alignment horizontal="center" vertical="center" textRotation="90" wrapText="1"/>
    </xf>
    <xf numFmtId="0" fontId="1" fillId="0" borderId="6" xfId="2" applyBorder="1" applyAlignment="1">
      <alignment horizontal="center" vertical="center" wrapText="1"/>
    </xf>
    <xf numFmtId="0" fontId="1" fillId="0" borderId="7" xfId="2" applyBorder="1" applyAlignment="1">
      <alignment horizontal="center" vertical="center"/>
    </xf>
    <xf numFmtId="0" fontId="1" fillId="0" borderId="8" xfId="2" applyBorder="1" applyAlignment="1">
      <alignment horizontal="center" vertical="center"/>
    </xf>
    <xf numFmtId="0" fontId="5" fillId="0" borderId="21" xfId="2" applyFont="1" applyBorder="1" applyAlignment="1">
      <alignment horizontal="center" vertical="center"/>
    </xf>
    <xf numFmtId="0" fontId="5" fillId="0" borderId="27" xfId="2" applyFont="1" applyBorder="1" applyAlignment="1">
      <alignment horizontal="center" vertical="center"/>
    </xf>
    <xf numFmtId="0" fontId="5" fillId="0" borderId="22" xfId="2" applyFont="1" applyBorder="1" applyAlignment="1">
      <alignment horizontal="center" vertical="center"/>
    </xf>
    <xf numFmtId="0" fontId="1" fillId="0" borderId="15" xfId="1" applyFont="1" applyBorder="1" applyAlignment="1">
      <alignment horizontal="center" vertical="center"/>
    </xf>
    <xf numFmtId="0" fontId="1" fillId="0" borderId="20" xfId="1" applyFont="1" applyBorder="1" applyAlignment="1">
      <alignment horizontal="center" vertical="center"/>
    </xf>
    <xf numFmtId="0" fontId="1" fillId="0" borderId="15" xfId="1" applyFont="1" applyBorder="1" applyAlignment="1">
      <alignment horizontal="center" vertical="center" wrapText="1"/>
    </xf>
    <xf numFmtId="0" fontId="0" fillId="0" borderId="15" xfId="0" applyBorder="1" applyAlignment="1">
      <alignment horizontal="center" vertical="center" textRotation="90"/>
    </xf>
    <xf numFmtId="0" fontId="0" fillId="0" borderId="36" xfId="0" applyBorder="1" applyAlignment="1">
      <alignment horizontal="center" vertical="center" textRotation="90"/>
    </xf>
    <xf numFmtId="0" fontId="0" fillId="0" borderId="20" xfId="0" applyBorder="1" applyAlignment="1">
      <alignment horizontal="center" vertical="center" textRotation="90"/>
    </xf>
    <xf numFmtId="0" fontId="1" fillId="0" borderId="0" xfId="2" applyAlignment="1">
      <alignment horizontal="left" vertical="top" wrapText="1"/>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0" fontId="1" fillId="0" borderId="40" xfId="1" applyFont="1" applyBorder="1" applyAlignment="1">
      <alignment horizontal="center" vertical="center" wrapText="1"/>
    </xf>
    <xf numFmtId="0" fontId="0" fillId="0" borderId="33" xfId="0" applyBorder="1" applyAlignment="1">
      <alignment horizontal="center" vertical="center" textRotation="90"/>
    </xf>
    <xf numFmtId="0" fontId="0" fillId="0" borderId="37" xfId="0" applyBorder="1" applyAlignment="1">
      <alignment horizontal="center" vertical="center" textRotation="90"/>
    </xf>
    <xf numFmtId="0" fontId="1" fillId="0" borderId="8" xfId="1" applyFont="1" applyBorder="1" applyAlignment="1">
      <alignment horizontal="center" vertical="center" wrapText="1"/>
    </xf>
    <xf numFmtId="0" fontId="0" fillId="0" borderId="7" xfId="0" applyBorder="1" applyAlignment="1">
      <alignment horizontal="center" vertical="center" textRotation="90"/>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N49"/>
  <sheetViews>
    <sheetView zoomScaleNormal="100" workbookViewId="0">
      <pane xSplit="2" ySplit="3" topLeftCell="C15" activePane="bottomRight" state="frozen"/>
      <selection pane="topRight" activeCell="C1" sqref="C1"/>
      <selection pane="bottomLeft" activeCell="A4" sqref="A4"/>
      <selection pane="bottomRight" activeCell="I29" sqref="I29"/>
    </sheetView>
  </sheetViews>
  <sheetFormatPr defaultRowHeight="15" x14ac:dyDescent="0.25"/>
  <cols>
    <col min="2" max="2" width="23.5703125" customWidth="1"/>
    <col min="3" max="3" width="24.140625" customWidth="1"/>
    <col min="4" max="8" width="15.7109375" customWidth="1"/>
  </cols>
  <sheetData>
    <row r="2" spans="1:14" x14ac:dyDescent="0.25">
      <c r="B2" s="71"/>
      <c r="C2" s="114" t="s">
        <v>15</v>
      </c>
      <c r="D2" s="114"/>
      <c r="E2" s="114" t="s">
        <v>84</v>
      </c>
      <c r="F2" s="114"/>
      <c r="G2" s="114" t="s">
        <v>16</v>
      </c>
      <c r="H2" s="114"/>
    </row>
    <row r="3" spans="1:14" ht="26.25" customHeight="1" x14ac:dyDescent="0.25">
      <c r="B3" s="34" t="s">
        <v>0</v>
      </c>
      <c r="C3" s="75" t="s">
        <v>17</v>
      </c>
      <c r="D3" s="33" t="s">
        <v>18</v>
      </c>
      <c r="E3" s="75" t="s">
        <v>17</v>
      </c>
      <c r="F3" s="33" t="s">
        <v>18</v>
      </c>
      <c r="G3" s="75" t="s">
        <v>17</v>
      </c>
      <c r="H3" s="33" t="s">
        <v>18</v>
      </c>
      <c r="J3" s="2" t="s">
        <v>77</v>
      </c>
      <c r="K3" s="2" t="s">
        <v>78</v>
      </c>
      <c r="M3" s="115"/>
      <c r="N3" s="115"/>
    </row>
    <row r="4" spans="1:14" ht="15" customHeight="1" x14ac:dyDescent="0.25">
      <c r="A4" s="111" t="s">
        <v>22</v>
      </c>
      <c r="B4" s="112" t="s">
        <v>72</v>
      </c>
      <c r="C4" s="33"/>
      <c r="D4" s="33"/>
      <c r="E4" s="33"/>
      <c r="F4" s="33"/>
      <c r="G4" s="33"/>
      <c r="H4" s="33"/>
      <c r="M4" s="115"/>
      <c r="N4" s="115"/>
    </row>
    <row r="5" spans="1:14" ht="15" customHeight="1" x14ac:dyDescent="0.25">
      <c r="A5" s="111"/>
      <c r="B5" s="113"/>
      <c r="C5" s="70">
        <v>0</v>
      </c>
      <c r="D5" s="70">
        <v>0</v>
      </c>
      <c r="E5" s="70">
        <v>0</v>
      </c>
      <c r="F5" s="70">
        <v>0</v>
      </c>
      <c r="G5" s="70">
        <v>0</v>
      </c>
      <c r="H5" s="70">
        <v>0</v>
      </c>
      <c r="J5" s="5">
        <f>C5+E5+G5</f>
        <v>0</v>
      </c>
      <c r="K5" s="5">
        <f>D5+F5+H5</f>
        <v>0</v>
      </c>
      <c r="M5" s="115"/>
      <c r="N5" s="115"/>
    </row>
    <row r="6" spans="1:14" ht="15" customHeight="1" x14ac:dyDescent="0.25">
      <c r="A6" s="111"/>
      <c r="B6" s="113">
        <v>0.25</v>
      </c>
      <c r="C6" s="33"/>
      <c r="D6" s="33"/>
      <c r="E6" s="33"/>
      <c r="F6" s="33"/>
      <c r="G6" s="33"/>
      <c r="H6" s="33"/>
      <c r="M6" s="115"/>
      <c r="N6" s="115"/>
    </row>
    <row r="7" spans="1:14" ht="15" customHeight="1" x14ac:dyDescent="0.25">
      <c r="A7" s="111"/>
      <c r="B7" s="113"/>
      <c r="C7" s="33">
        <f>(0.004+0.005)/2</f>
        <v>4.5000000000000005E-3</v>
      </c>
      <c r="D7" s="33">
        <f>(0.004+0.005)/2</f>
        <v>4.5000000000000005E-3</v>
      </c>
      <c r="E7" s="33">
        <f>(0.017+0.024)/2</f>
        <v>2.0500000000000001E-2</v>
      </c>
      <c r="F7" s="33">
        <f>(0.02+0.027)/2</f>
        <v>2.35E-2</v>
      </c>
      <c r="G7" s="33">
        <f>(0.005+0.008)/2</f>
        <v>6.5000000000000006E-3</v>
      </c>
      <c r="H7" s="33">
        <f>(0.005+0.007)/2</f>
        <v>6.0000000000000001E-3</v>
      </c>
      <c r="J7" s="5">
        <f>C7+E7+G7</f>
        <v>3.15E-2</v>
      </c>
      <c r="K7" s="5">
        <f>D7+F7+H7</f>
        <v>3.4000000000000002E-2</v>
      </c>
      <c r="M7" s="115"/>
      <c r="N7" s="115"/>
    </row>
    <row r="8" spans="1:14" ht="15" customHeight="1" x14ac:dyDescent="0.25">
      <c r="A8" s="111"/>
      <c r="B8" s="113">
        <v>0.5</v>
      </c>
      <c r="C8" s="33"/>
      <c r="D8" s="33"/>
      <c r="E8" s="33"/>
      <c r="F8" s="33"/>
      <c r="G8" s="33"/>
      <c r="H8" s="33"/>
      <c r="M8" s="115"/>
      <c r="N8" s="115"/>
    </row>
    <row r="9" spans="1:14" ht="15" customHeight="1" x14ac:dyDescent="0.25">
      <c r="A9" s="111"/>
      <c r="B9" s="113"/>
      <c r="C9" s="33">
        <v>6.0000000000000001E-3</v>
      </c>
      <c r="D9" s="33">
        <v>6.0000000000000001E-3</v>
      </c>
      <c r="E9" s="33">
        <v>2.9000000000000001E-2</v>
      </c>
      <c r="F9" s="33">
        <v>3.3000000000000002E-2</v>
      </c>
      <c r="G9" s="33">
        <v>8.9999999999999993E-3</v>
      </c>
      <c r="H9" s="33">
        <v>8.9999999999999993E-3</v>
      </c>
      <c r="J9" s="5">
        <f>C9+E9+G9</f>
        <v>4.4000000000000004E-2</v>
      </c>
      <c r="K9" s="5">
        <f>D9+F9+H9</f>
        <v>4.8000000000000001E-2</v>
      </c>
      <c r="M9" s="115"/>
      <c r="N9" s="115"/>
    </row>
    <row r="10" spans="1:14" ht="15" customHeight="1" x14ac:dyDescent="0.25">
      <c r="A10" s="111"/>
      <c r="B10" s="113">
        <v>0.75</v>
      </c>
      <c r="C10" s="33"/>
      <c r="D10" s="33"/>
      <c r="E10" s="33"/>
      <c r="F10" s="33"/>
      <c r="G10" s="33"/>
      <c r="H10" s="33"/>
      <c r="M10" s="115"/>
      <c r="N10" s="115"/>
    </row>
    <row r="11" spans="1:14" ht="15" customHeight="1" x14ac:dyDescent="0.25">
      <c r="A11" s="111"/>
      <c r="B11" s="113"/>
      <c r="C11" s="33">
        <f>(0.004+0.005)/2</f>
        <v>4.5000000000000005E-3</v>
      </c>
      <c r="D11" s="33">
        <f>(0.004+0.005)/2</f>
        <v>4.5000000000000005E-3</v>
      </c>
      <c r="E11" s="33">
        <f>(0.024+0.017)/2</f>
        <v>2.0500000000000001E-2</v>
      </c>
      <c r="F11" s="33">
        <f>(0.027+0.02)/2</f>
        <v>2.35E-2</v>
      </c>
      <c r="G11" s="33">
        <f>(0.006+0.008)/2</f>
        <v>7.0000000000000001E-3</v>
      </c>
      <c r="H11" s="33">
        <f>(0.007+0.005)/2</f>
        <v>6.0000000000000001E-3</v>
      </c>
      <c r="J11" s="5">
        <f>C11+E11+G11</f>
        <v>3.2000000000000001E-2</v>
      </c>
      <c r="K11" s="5">
        <f>D11+F11+H11</f>
        <v>3.4000000000000002E-2</v>
      </c>
      <c r="M11" s="115"/>
      <c r="N11" s="115"/>
    </row>
    <row r="12" spans="1:14" ht="15" customHeight="1" x14ac:dyDescent="0.25">
      <c r="A12" s="111"/>
      <c r="B12" s="112" t="s">
        <v>64</v>
      </c>
      <c r="C12" s="33"/>
      <c r="D12" s="33"/>
      <c r="E12" s="33"/>
      <c r="F12" s="33"/>
      <c r="G12" s="33"/>
      <c r="H12" s="33"/>
      <c r="M12" s="115"/>
      <c r="N12" s="115"/>
    </row>
    <row r="13" spans="1:14" ht="15" customHeight="1" x14ac:dyDescent="0.25">
      <c r="A13" s="111"/>
      <c r="B13" s="113"/>
      <c r="C13" s="70">
        <v>0</v>
      </c>
      <c r="D13" s="70">
        <v>0</v>
      </c>
      <c r="E13" s="70">
        <v>0</v>
      </c>
      <c r="F13" s="70">
        <v>0</v>
      </c>
      <c r="G13" s="70">
        <v>0</v>
      </c>
      <c r="H13" s="70">
        <v>0</v>
      </c>
      <c r="J13" s="5">
        <f>C13+E13+G13</f>
        <v>0</v>
      </c>
      <c r="K13" s="5">
        <f>D13+F13+H13</f>
        <v>0</v>
      </c>
      <c r="M13" s="115"/>
      <c r="N13" s="115"/>
    </row>
    <row r="14" spans="1:14" x14ac:dyDescent="0.25">
      <c r="A14" s="111" t="s">
        <v>58</v>
      </c>
      <c r="B14" s="112" t="s">
        <v>65</v>
      </c>
      <c r="C14" s="67"/>
      <c r="D14" s="67"/>
      <c r="E14" s="67"/>
      <c r="F14" s="67"/>
      <c r="G14" s="67"/>
      <c r="H14" s="67"/>
      <c r="M14" s="115"/>
      <c r="N14" s="115"/>
    </row>
    <row r="15" spans="1:14" x14ac:dyDescent="0.25">
      <c r="A15" s="111"/>
      <c r="B15" s="113"/>
      <c r="C15" s="70">
        <v>0</v>
      </c>
      <c r="D15" s="70">
        <v>0</v>
      </c>
      <c r="E15" s="70">
        <v>0</v>
      </c>
      <c r="F15" s="70">
        <v>0</v>
      </c>
      <c r="G15" s="70">
        <v>0</v>
      </c>
      <c r="H15" s="70">
        <v>0</v>
      </c>
      <c r="J15" s="5">
        <f>C15+E15+G15</f>
        <v>0</v>
      </c>
      <c r="K15" s="5">
        <f>D15+F15+H15</f>
        <v>0</v>
      </c>
      <c r="L15" s="5"/>
    </row>
    <row r="16" spans="1:14" x14ac:dyDescent="0.25">
      <c r="A16" s="111"/>
      <c r="B16" s="113">
        <v>0.1</v>
      </c>
      <c r="C16" s="67"/>
      <c r="D16" s="67"/>
      <c r="E16" s="67"/>
      <c r="F16" s="67"/>
      <c r="G16" s="67"/>
      <c r="H16" s="67"/>
      <c r="J16" s="5"/>
      <c r="K16" s="5"/>
      <c r="L16" s="5"/>
    </row>
    <row r="17" spans="1:14" x14ac:dyDescent="0.25">
      <c r="A17" s="111"/>
      <c r="B17" s="113"/>
      <c r="C17" s="70">
        <v>0.31900000000000001</v>
      </c>
      <c r="D17" s="70">
        <v>0.31900000000000001</v>
      </c>
      <c r="E17" s="70">
        <v>0.60899999999999999</v>
      </c>
      <c r="F17" s="70">
        <v>0.67800000000000005</v>
      </c>
      <c r="G17" s="70">
        <v>0.26</v>
      </c>
      <c r="H17" s="70">
        <v>0.253</v>
      </c>
      <c r="J17" s="5">
        <f>C17+E17+G17</f>
        <v>1.1879999999999999</v>
      </c>
      <c r="K17" s="5">
        <f>D17+F17+H17</f>
        <v>1.25</v>
      </c>
      <c r="L17" s="5"/>
      <c r="N17" s="42">
        <f>(K17-J17)/12</f>
        <v>5.166666666666671E-3</v>
      </c>
    </row>
    <row r="18" spans="1:14" x14ac:dyDescent="0.25">
      <c r="A18" s="111"/>
      <c r="B18" s="113">
        <v>0.2</v>
      </c>
      <c r="C18" s="67"/>
      <c r="D18" s="67"/>
      <c r="E18" s="67"/>
      <c r="F18" s="67"/>
      <c r="G18" s="67"/>
      <c r="H18" s="67"/>
      <c r="J18" s="5"/>
      <c r="K18" s="5"/>
      <c r="L18" s="5"/>
    </row>
    <row r="19" spans="1:14" x14ac:dyDescent="0.25">
      <c r="A19" s="111"/>
      <c r="B19" s="113"/>
      <c r="C19" s="70">
        <v>0.60299999999999998</v>
      </c>
      <c r="D19" s="70">
        <v>0.60299999999999998</v>
      </c>
      <c r="E19" s="70">
        <v>1.153</v>
      </c>
      <c r="F19" s="70">
        <v>1.282</v>
      </c>
      <c r="G19" s="70">
        <v>0.49299999999999999</v>
      </c>
      <c r="H19" s="70">
        <v>0.47899999999999998</v>
      </c>
      <c r="J19" s="5">
        <f>C19+E19+G19</f>
        <v>2.2490000000000001</v>
      </c>
      <c r="K19" s="5">
        <f>D19+F19+H19</f>
        <v>2.3639999999999999</v>
      </c>
      <c r="L19" s="5"/>
      <c r="N19" s="42">
        <f>(K19-J19)/12</f>
        <v>9.5833333333333135E-3</v>
      </c>
    </row>
    <row r="20" spans="1:14" x14ac:dyDescent="0.25">
      <c r="A20" s="111"/>
      <c r="B20" s="113">
        <v>0.3</v>
      </c>
      <c r="C20" s="67"/>
      <c r="D20" s="67"/>
      <c r="E20" s="67"/>
      <c r="F20" s="67"/>
      <c r="G20" s="67"/>
      <c r="H20" s="67"/>
      <c r="J20" s="5"/>
      <c r="K20" s="5"/>
      <c r="L20" s="5"/>
    </row>
    <row r="21" spans="1:14" x14ac:dyDescent="0.25">
      <c r="A21" s="111"/>
      <c r="B21" s="113"/>
      <c r="C21" s="70">
        <v>0.82599999999999996</v>
      </c>
      <c r="D21" s="70">
        <v>0.82599999999999996</v>
      </c>
      <c r="E21" s="70">
        <v>1.5780000000000001</v>
      </c>
      <c r="F21" s="70">
        <v>1.756</v>
      </c>
      <c r="G21" s="70">
        <v>0.67400000000000004</v>
      </c>
      <c r="H21" s="70">
        <v>0.65600000000000003</v>
      </c>
      <c r="J21" s="5">
        <f>C21+E21+G21</f>
        <v>3.0779999999999998</v>
      </c>
      <c r="K21" s="5">
        <f>D21+F21+H21</f>
        <v>3.238</v>
      </c>
      <c r="L21" s="5"/>
      <c r="N21" s="42">
        <f>(K21-J21)/12</f>
        <v>1.3333333333333345E-2</v>
      </c>
    </row>
    <row r="22" spans="1:14" x14ac:dyDescent="0.25">
      <c r="A22" s="111"/>
      <c r="B22" s="113" t="s">
        <v>75</v>
      </c>
      <c r="C22" s="70"/>
      <c r="D22" s="70"/>
      <c r="E22" s="70"/>
      <c r="F22" s="70"/>
      <c r="G22" s="70"/>
      <c r="H22" s="70"/>
      <c r="J22" s="5"/>
      <c r="K22" s="5"/>
      <c r="L22" s="5"/>
    </row>
    <row r="23" spans="1:14" x14ac:dyDescent="0.25">
      <c r="A23" s="111"/>
      <c r="B23" s="113"/>
      <c r="C23" s="70">
        <f t="shared" ref="C23:H23" si="0">((C25-C21)/(39-29.2))*(32.5-29.2)+C21</f>
        <v>0.87347959183673463</v>
      </c>
      <c r="D23" s="70">
        <f t="shared" si="0"/>
        <v>0.87347959183673463</v>
      </c>
      <c r="E23" s="70">
        <f t="shared" si="0"/>
        <v>1.6689183673469388</v>
      </c>
      <c r="F23" s="70">
        <f t="shared" si="0"/>
        <v>1.8570204081632653</v>
      </c>
      <c r="G23" s="70">
        <f t="shared" si="0"/>
        <v>0.71306122448979592</v>
      </c>
      <c r="H23" s="70">
        <f t="shared" si="0"/>
        <v>0.69371428571428573</v>
      </c>
      <c r="J23" s="5">
        <f>C23+E23+G23</f>
        <v>3.255459183673469</v>
      </c>
      <c r="K23" s="5">
        <f>D23+F23+H23</f>
        <v>3.4242142857142861</v>
      </c>
      <c r="L23" s="5"/>
      <c r="N23" s="42">
        <f>(K23-J23)/12</f>
        <v>1.4062925170068094E-2</v>
      </c>
    </row>
    <row r="24" spans="1:14" x14ac:dyDescent="0.25">
      <c r="A24" s="111"/>
      <c r="B24" s="113">
        <v>0.4</v>
      </c>
      <c r="C24" s="67"/>
      <c r="D24" s="67"/>
      <c r="E24" s="67"/>
      <c r="F24" s="67"/>
      <c r="G24" s="67"/>
      <c r="H24" s="67"/>
      <c r="J24" s="5"/>
      <c r="K24" s="5"/>
      <c r="L24" s="5"/>
    </row>
    <row r="25" spans="1:14" x14ac:dyDescent="0.25">
      <c r="A25" s="111"/>
      <c r="B25" s="113"/>
      <c r="C25" s="70">
        <v>0.96699999999999997</v>
      </c>
      <c r="D25" s="70">
        <v>0.96699999999999997</v>
      </c>
      <c r="E25" s="70">
        <v>1.8480000000000001</v>
      </c>
      <c r="F25" s="70">
        <v>2.056</v>
      </c>
      <c r="G25" s="70">
        <v>0.79</v>
      </c>
      <c r="H25" s="70">
        <v>0.76800000000000002</v>
      </c>
      <c r="J25" s="5">
        <f>C25+E25+G25</f>
        <v>3.605</v>
      </c>
      <c r="K25" s="5">
        <f>D25+F25+H25</f>
        <v>3.7910000000000004</v>
      </c>
      <c r="L25" s="5"/>
      <c r="N25" s="42">
        <f>(K25-J25)/12</f>
        <v>1.5500000000000033E-2</v>
      </c>
    </row>
    <row r="26" spans="1:14" x14ac:dyDescent="0.25">
      <c r="A26" s="111"/>
      <c r="B26" s="113">
        <v>0.5</v>
      </c>
      <c r="C26" s="67"/>
      <c r="D26" s="67"/>
      <c r="E26" s="67"/>
      <c r="F26" s="67"/>
      <c r="G26" s="67"/>
      <c r="H26" s="67"/>
      <c r="J26" s="5"/>
      <c r="K26" s="5"/>
      <c r="L26" s="5"/>
    </row>
    <row r="27" spans="1:14" x14ac:dyDescent="0.25">
      <c r="A27" s="111"/>
      <c r="B27" s="113"/>
      <c r="C27" s="70">
        <v>1.016</v>
      </c>
      <c r="D27" s="70">
        <v>1.016</v>
      </c>
      <c r="E27" s="70">
        <v>1.9410000000000001</v>
      </c>
      <c r="F27" s="70">
        <v>2.1589999999999998</v>
      </c>
      <c r="G27" s="70">
        <v>0.82899999999999996</v>
      </c>
      <c r="H27" s="70">
        <v>0.80700000000000005</v>
      </c>
      <c r="J27" s="5">
        <f>C27+E27+G27</f>
        <v>3.7859999999999996</v>
      </c>
      <c r="K27" s="5">
        <f>D27+F27+H27</f>
        <v>3.9819999999999998</v>
      </c>
      <c r="L27" s="5"/>
      <c r="N27" s="42">
        <f>(K27-J27)/12</f>
        <v>1.6333333333333349E-2</v>
      </c>
    </row>
    <row r="28" spans="1:14" x14ac:dyDescent="0.25">
      <c r="A28" s="111"/>
      <c r="B28" s="113">
        <v>0.6</v>
      </c>
      <c r="C28" s="67"/>
      <c r="D28" s="67"/>
      <c r="E28" s="67"/>
      <c r="F28" s="67"/>
      <c r="G28" s="67"/>
      <c r="H28" s="67"/>
      <c r="J28" s="5"/>
      <c r="K28" s="5"/>
      <c r="L28" s="5"/>
    </row>
    <row r="29" spans="1:14" x14ac:dyDescent="0.25">
      <c r="A29" s="111"/>
      <c r="B29" s="113"/>
      <c r="C29" s="70">
        <v>0.96699999999999997</v>
      </c>
      <c r="D29" s="70">
        <v>0.96699999999999997</v>
      </c>
      <c r="E29" s="70">
        <v>1.8480000000000001</v>
      </c>
      <c r="F29" s="70">
        <v>2.056</v>
      </c>
      <c r="G29" s="70">
        <v>0.79</v>
      </c>
      <c r="H29" s="70">
        <v>0.76900000000000002</v>
      </c>
      <c r="J29" s="5">
        <f>C29+E29+G29</f>
        <v>3.605</v>
      </c>
      <c r="K29" s="5">
        <f>D29+F29+H29</f>
        <v>3.7920000000000003</v>
      </c>
      <c r="L29" s="5"/>
      <c r="N29" s="42">
        <f>(K29-J29)/12</f>
        <v>1.5583333333333357E-2</v>
      </c>
    </row>
    <row r="30" spans="1:14" x14ac:dyDescent="0.25">
      <c r="A30" s="111"/>
      <c r="B30" s="113" t="s">
        <v>76</v>
      </c>
      <c r="C30" s="70"/>
      <c r="D30" s="70"/>
      <c r="E30" s="70"/>
      <c r="F30" s="70"/>
      <c r="G30" s="70"/>
      <c r="H30" s="70"/>
      <c r="J30" s="5"/>
      <c r="K30" s="5"/>
      <c r="L30" s="5"/>
    </row>
    <row r="31" spans="1:14" x14ac:dyDescent="0.25">
      <c r="A31" s="111"/>
      <c r="B31" s="113"/>
      <c r="C31" s="70">
        <f t="shared" ref="C31:H31" si="1">((C33-C29)/(68.2-58.5))*(65-58.5)+C29</f>
        <v>0.87251546391752577</v>
      </c>
      <c r="D31" s="70">
        <f t="shared" si="1"/>
        <v>0.87251546391752577</v>
      </c>
      <c r="E31" s="70">
        <f t="shared" si="1"/>
        <v>1.6670721649484537</v>
      </c>
      <c r="F31" s="70">
        <f t="shared" si="1"/>
        <v>1.8549690721649486</v>
      </c>
      <c r="G31" s="70">
        <f t="shared" si="1"/>
        <v>0.71226804123711351</v>
      </c>
      <c r="H31" s="70">
        <f t="shared" si="1"/>
        <v>0.69327835051546394</v>
      </c>
      <c r="J31" s="5">
        <f>C31+E31+G31</f>
        <v>3.251855670103093</v>
      </c>
      <c r="K31" s="5">
        <f>D31+F31+H31</f>
        <v>3.4207628865979385</v>
      </c>
      <c r="L31" s="5"/>
      <c r="N31" s="42">
        <f>(K31-J31)/12</f>
        <v>1.407560137457046E-2</v>
      </c>
    </row>
    <row r="32" spans="1:14" x14ac:dyDescent="0.25">
      <c r="A32" s="111"/>
      <c r="B32" s="113">
        <v>0.7</v>
      </c>
      <c r="C32" s="67"/>
      <c r="D32" s="67"/>
      <c r="E32" s="67"/>
      <c r="F32" s="67"/>
      <c r="G32" s="67"/>
      <c r="H32" s="67"/>
      <c r="J32" s="5"/>
      <c r="K32" s="5"/>
      <c r="L32" s="5"/>
    </row>
    <row r="33" spans="1:14" x14ac:dyDescent="0.25">
      <c r="A33" s="111"/>
      <c r="B33" s="113"/>
      <c r="C33" s="70">
        <v>0.82599999999999996</v>
      </c>
      <c r="D33" s="70">
        <v>0.82599999999999996</v>
      </c>
      <c r="E33" s="70">
        <v>1.5780000000000001</v>
      </c>
      <c r="F33" s="70">
        <v>1.756</v>
      </c>
      <c r="G33" s="70">
        <v>0.67400000000000004</v>
      </c>
      <c r="H33" s="70">
        <v>0.65600000000000003</v>
      </c>
      <c r="J33" s="5">
        <f>C33+E33+G33</f>
        <v>3.0779999999999998</v>
      </c>
      <c r="K33" s="5">
        <f>D33+F33+H33</f>
        <v>3.238</v>
      </c>
      <c r="L33" s="5"/>
      <c r="N33" s="42">
        <f>(K33-J33)/12</f>
        <v>1.3333333333333345E-2</v>
      </c>
    </row>
    <row r="34" spans="1:14" x14ac:dyDescent="0.25">
      <c r="A34" s="111"/>
      <c r="B34" s="113">
        <v>0.8</v>
      </c>
      <c r="C34" s="67"/>
      <c r="D34" s="67"/>
      <c r="E34" s="67"/>
      <c r="F34" s="67"/>
      <c r="G34" s="67"/>
      <c r="H34" s="67"/>
      <c r="J34" s="5"/>
      <c r="K34" s="5"/>
      <c r="L34" s="5"/>
    </row>
    <row r="35" spans="1:14" x14ac:dyDescent="0.25">
      <c r="A35" s="111"/>
      <c r="B35" s="113"/>
      <c r="C35" s="70">
        <v>0.60299999999999998</v>
      </c>
      <c r="D35" s="70">
        <v>0.60299999999999998</v>
      </c>
      <c r="E35" s="70">
        <v>1.153</v>
      </c>
      <c r="F35" s="70">
        <v>1.2829999999999999</v>
      </c>
      <c r="G35" s="70">
        <v>0.49299999999999999</v>
      </c>
      <c r="H35" s="70">
        <v>0.48</v>
      </c>
      <c r="J35" s="5">
        <f>C35+E35+G35</f>
        <v>2.2490000000000001</v>
      </c>
      <c r="K35" s="5">
        <f>D35+F35+H35</f>
        <v>2.3659999999999997</v>
      </c>
      <c r="L35" s="5"/>
      <c r="N35" s="42">
        <f>(K35-J35)/12</f>
        <v>9.7499999999999618E-3</v>
      </c>
    </row>
    <row r="36" spans="1:14" x14ac:dyDescent="0.25">
      <c r="A36" s="111"/>
      <c r="B36" s="113">
        <v>0.9</v>
      </c>
      <c r="C36" s="67"/>
      <c r="D36" s="67"/>
      <c r="E36" s="67"/>
      <c r="F36" s="67"/>
      <c r="G36" s="67"/>
      <c r="H36" s="67"/>
      <c r="J36" s="5"/>
      <c r="K36" s="5"/>
      <c r="L36" s="5"/>
    </row>
    <row r="37" spans="1:14" x14ac:dyDescent="0.25">
      <c r="A37" s="111"/>
      <c r="B37" s="113"/>
      <c r="C37" s="70">
        <v>0.31900000000000001</v>
      </c>
      <c r="D37" s="70">
        <v>0.31900000000000001</v>
      </c>
      <c r="E37" s="70">
        <v>0.60899999999999999</v>
      </c>
      <c r="F37" s="70">
        <v>0.67800000000000005</v>
      </c>
      <c r="G37" s="70">
        <v>0.26100000000000001</v>
      </c>
      <c r="H37" s="70">
        <v>0.254</v>
      </c>
      <c r="J37" s="5">
        <f>C37+E37+G37</f>
        <v>1.1890000000000001</v>
      </c>
      <c r="K37" s="5">
        <f>D37+F37+H37</f>
        <v>1.2510000000000001</v>
      </c>
      <c r="L37" s="5"/>
      <c r="N37" s="42">
        <f>(K37-J37)/12</f>
        <v>5.166666666666671E-3</v>
      </c>
    </row>
    <row r="38" spans="1:14" x14ac:dyDescent="0.25">
      <c r="A38" s="111"/>
      <c r="B38" s="112" t="s">
        <v>67</v>
      </c>
      <c r="C38" s="67"/>
      <c r="D38" s="67"/>
      <c r="E38" s="67"/>
      <c r="F38" s="67"/>
      <c r="G38" s="67"/>
      <c r="H38" s="67"/>
      <c r="J38" s="5"/>
      <c r="K38" s="5"/>
      <c r="L38" s="5"/>
    </row>
    <row r="39" spans="1:14" x14ac:dyDescent="0.25">
      <c r="A39" s="111"/>
      <c r="B39" s="113"/>
      <c r="C39" s="70">
        <v>0</v>
      </c>
      <c r="D39" s="70">
        <v>0</v>
      </c>
      <c r="E39" s="70">
        <v>0</v>
      </c>
      <c r="F39" s="70">
        <v>0</v>
      </c>
      <c r="G39" s="70">
        <v>0</v>
      </c>
      <c r="H39" s="70">
        <v>0</v>
      </c>
      <c r="J39" s="5">
        <f>C39+E39+G39</f>
        <v>0</v>
      </c>
      <c r="K39" s="5">
        <f>D39+F39+H39</f>
        <v>0</v>
      </c>
      <c r="L39" s="5"/>
      <c r="N39" s="42">
        <f>(K39-J39)/12</f>
        <v>0</v>
      </c>
    </row>
    <row r="40" spans="1:14" x14ac:dyDescent="0.25">
      <c r="A40" s="111" t="s">
        <v>66</v>
      </c>
      <c r="B40" s="112" t="s">
        <v>74</v>
      </c>
      <c r="C40" s="71"/>
      <c r="D40" s="71"/>
      <c r="E40" s="71"/>
      <c r="F40" s="71"/>
      <c r="G40" s="71"/>
      <c r="H40" s="71"/>
    </row>
    <row r="41" spans="1:14" x14ac:dyDescent="0.25">
      <c r="A41" s="111"/>
      <c r="B41" s="113"/>
      <c r="C41" s="70">
        <f>C5</f>
        <v>0</v>
      </c>
      <c r="D41" s="70">
        <f t="shared" ref="D41:H49" si="2">D5</f>
        <v>0</v>
      </c>
      <c r="E41" s="70">
        <f t="shared" si="2"/>
        <v>0</v>
      </c>
      <c r="F41" s="70">
        <f t="shared" si="2"/>
        <v>0</v>
      </c>
      <c r="G41" s="70">
        <f t="shared" si="2"/>
        <v>0</v>
      </c>
      <c r="H41" s="70">
        <f t="shared" si="2"/>
        <v>0</v>
      </c>
      <c r="L41" s="5"/>
    </row>
    <row r="42" spans="1:14" x14ac:dyDescent="0.25">
      <c r="A42" s="111"/>
      <c r="B42" s="113">
        <v>0.25</v>
      </c>
      <c r="C42" s="71"/>
      <c r="D42" s="71"/>
      <c r="E42" s="71"/>
      <c r="F42" s="71"/>
      <c r="G42" s="71"/>
      <c r="H42" s="71"/>
    </row>
    <row r="43" spans="1:14" x14ac:dyDescent="0.25">
      <c r="A43" s="111"/>
      <c r="B43" s="113"/>
      <c r="C43" s="70">
        <f>C7</f>
        <v>4.5000000000000005E-3</v>
      </c>
      <c r="D43" s="70">
        <f t="shared" si="2"/>
        <v>4.5000000000000005E-3</v>
      </c>
      <c r="E43" s="70">
        <f t="shared" si="2"/>
        <v>2.0500000000000001E-2</v>
      </c>
      <c r="F43" s="70">
        <f t="shared" si="2"/>
        <v>2.35E-2</v>
      </c>
      <c r="G43" s="70">
        <f t="shared" si="2"/>
        <v>6.5000000000000006E-3</v>
      </c>
      <c r="H43" s="70">
        <f t="shared" si="2"/>
        <v>6.0000000000000001E-3</v>
      </c>
    </row>
    <row r="44" spans="1:14" x14ac:dyDescent="0.25">
      <c r="A44" s="111"/>
      <c r="B44" s="113">
        <v>0.5</v>
      </c>
      <c r="C44" s="71"/>
      <c r="D44" s="71"/>
      <c r="E44" s="71"/>
      <c r="F44" s="71"/>
      <c r="G44" s="71"/>
      <c r="H44" s="71"/>
    </row>
    <row r="45" spans="1:14" x14ac:dyDescent="0.25">
      <c r="A45" s="111"/>
      <c r="B45" s="113"/>
      <c r="C45" s="70">
        <f>C9</f>
        <v>6.0000000000000001E-3</v>
      </c>
      <c r="D45" s="70">
        <f t="shared" si="2"/>
        <v>6.0000000000000001E-3</v>
      </c>
      <c r="E45" s="70">
        <f t="shared" si="2"/>
        <v>2.9000000000000001E-2</v>
      </c>
      <c r="F45" s="70">
        <f t="shared" si="2"/>
        <v>3.3000000000000002E-2</v>
      </c>
      <c r="G45" s="70">
        <f t="shared" si="2"/>
        <v>8.9999999999999993E-3</v>
      </c>
      <c r="H45" s="70">
        <f t="shared" si="2"/>
        <v>8.9999999999999993E-3</v>
      </c>
    </row>
    <row r="46" spans="1:14" x14ac:dyDescent="0.25">
      <c r="A46" s="111"/>
      <c r="B46" s="113">
        <v>0.75</v>
      </c>
      <c r="C46" s="71"/>
      <c r="D46" s="71"/>
      <c r="E46" s="71"/>
      <c r="F46" s="71"/>
      <c r="G46" s="71"/>
      <c r="H46" s="71"/>
    </row>
    <row r="47" spans="1:14" x14ac:dyDescent="0.25">
      <c r="A47" s="111"/>
      <c r="B47" s="113"/>
      <c r="C47" s="70">
        <f>C11</f>
        <v>4.5000000000000005E-3</v>
      </c>
      <c r="D47" s="70">
        <f t="shared" si="2"/>
        <v>4.5000000000000005E-3</v>
      </c>
      <c r="E47" s="70">
        <f t="shared" si="2"/>
        <v>2.0500000000000001E-2</v>
      </c>
      <c r="F47" s="70">
        <f t="shared" si="2"/>
        <v>2.35E-2</v>
      </c>
      <c r="G47" s="70">
        <f t="shared" si="2"/>
        <v>7.0000000000000001E-3</v>
      </c>
      <c r="H47" s="70">
        <f t="shared" si="2"/>
        <v>6.0000000000000001E-3</v>
      </c>
    </row>
    <row r="48" spans="1:14" x14ac:dyDescent="0.25">
      <c r="A48" s="111"/>
      <c r="B48" s="112" t="s">
        <v>73</v>
      </c>
      <c r="C48" s="71"/>
      <c r="D48" s="71"/>
      <c r="E48" s="71"/>
      <c r="F48" s="71"/>
      <c r="G48" s="71"/>
      <c r="H48" s="71"/>
    </row>
    <row r="49" spans="1:8" x14ac:dyDescent="0.25">
      <c r="A49" s="111"/>
      <c r="B49" s="113"/>
      <c r="C49" s="70">
        <f>C13</f>
        <v>0</v>
      </c>
      <c r="D49" s="70">
        <f t="shared" si="2"/>
        <v>0</v>
      </c>
      <c r="E49" s="70">
        <f t="shared" si="2"/>
        <v>0</v>
      </c>
      <c r="F49" s="70">
        <f t="shared" si="2"/>
        <v>0</v>
      </c>
      <c r="G49" s="70">
        <f t="shared" si="2"/>
        <v>0</v>
      </c>
      <c r="H49" s="70">
        <f t="shared" si="2"/>
        <v>0</v>
      </c>
    </row>
  </sheetData>
  <mergeCells count="30">
    <mergeCell ref="M3:N14"/>
    <mergeCell ref="B20:B21"/>
    <mergeCell ref="B24:B25"/>
    <mergeCell ref="B32:B33"/>
    <mergeCell ref="B34:B35"/>
    <mergeCell ref="B22:B23"/>
    <mergeCell ref="B30:B31"/>
    <mergeCell ref="C2:D2"/>
    <mergeCell ref="E2:F2"/>
    <mergeCell ref="G2:H2"/>
    <mergeCell ref="B14:B15"/>
    <mergeCell ref="B18:B19"/>
    <mergeCell ref="B16:B17"/>
    <mergeCell ref="B4:B5"/>
    <mergeCell ref="B6:B7"/>
    <mergeCell ref="B8:B9"/>
    <mergeCell ref="B10:B11"/>
    <mergeCell ref="B12:B13"/>
    <mergeCell ref="A4:A13"/>
    <mergeCell ref="A14:A39"/>
    <mergeCell ref="A40:A49"/>
    <mergeCell ref="B40:B41"/>
    <mergeCell ref="B42:B43"/>
    <mergeCell ref="B44:B45"/>
    <mergeCell ref="B46:B47"/>
    <mergeCell ref="B48:B49"/>
    <mergeCell ref="B26:B27"/>
    <mergeCell ref="B28:B29"/>
    <mergeCell ref="B38:B39"/>
    <mergeCell ref="B36:B37"/>
  </mergeCells>
  <pageMargins left="0.7" right="0.7" top="0.75" bottom="0.75" header="0.3" footer="0.3"/>
  <pageSetup paperSize="17" scale="94"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A1:X19"/>
  <sheetViews>
    <sheetView zoomScale="75" zoomScaleNormal="75" workbookViewId="0">
      <selection activeCell="H5" sqref="H5"/>
    </sheetView>
  </sheetViews>
  <sheetFormatPr defaultRowHeight="15" x14ac:dyDescent="0.25"/>
  <cols>
    <col min="1" max="1" width="36.7109375" customWidth="1"/>
    <col min="2" max="6" width="7.7109375" customWidth="1"/>
    <col min="7" max="19" width="7.7109375" style="2" customWidth="1"/>
    <col min="27" max="28" width="9.85546875" bestFit="1" customWidth="1"/>
  </cols>
  <sheetData>
    <row r="1" spans="1:24" ht="24" customHeight="1" x14ac:dyDescent="0.25">
      <c r="A1" s="116" t="s">
        <v>81</v>
      </c>
      <c r="B1" s="116"/>
      <c r="C1" s="116"/>
      <c r="D1" s="116"/>
      <c r="E1" s="116"/>
      <c r="F1" s="116"/>
      <c r="G1" s="116"/>
      <c r="H1" s="116"/>
      <c r="I1" s="116"/>
      <c r="J1" s="116"/>
      <c r="K1" s="116"/>
      <c r="L1" s="116"/>
      <c r="M1" s="116"/>
      <c r="N1" s="116"/>
      <c r="O1" s="116"/>
      <c r="P1" s="116"/>
      <c r="Q1" s="116"/>
      <c r="R1" s="116"/>
      <c r="S1" s="116"/>
      <c r="T1" s="116"/>
      <c r="U1" s="116"/>
      <c r="V1" s="116"/>
      <c r="W1" s="116"/>
      <c r="X1" s="116"/>
    </row>
    <row r="2" spans="1:24" ht="22.5" customHeight="1" x14ac:dyDescent="0.25">
      <c r="A2" s="114"/>
      <c r="B2" s="114" t="s">
        <v>22</v>
      </c>
      <c r="C2" s="114"/>
      <c r="D2" s="114"/>
      <c r="E2" s="114"/>
      <c r="F2" s="114"/>
      <c r="G2" s="114" t="s">
        <v>58</v>
      </c>
      <c r="H2" s="114"/>
      <c r="I2" s="114"/>
      <c r="J2" s="114"/>
      <c r="K2" s="114"/>
      <c r="L2" s="114"/>
      <c r="M2" s="114"/>
      <c r="N2" s="114"/>
      <c r="O2" s="114"/>
      <c r="P2" s="114"/>
      <c r="Q2" s="114"/>
      <c r="R2" s="114"/>
      <c r="S2" s="114"/>
      <c r="T2" s="114" t="s">
        <v>66</v>
      </c>
      <c r="U2" s="114"/>
      <c r="V2" s="114"/>
      <c r="W2" s="114"/>
      <c r="X2" s="114"/>
    </row>
    <row r="3" spans="1:24" ht="51" customHeight="1" x14ac:dyDescent="0.25">
      <c r="A3" s="114"/>
      <c r="B3" s="33" t="s">
        <v>72</v>
      </c>
      <c r="C3" s="34">
        <v>0.25</v>
      </c>
      <c r="D3" s="34">
        <v>0.5</v>
      </c>
      <c r="E3" s="34">
        <v>0.75</v>
      </c>
      <c r="F3" s="33" t="s">
        <v>64</v>
      </c>
      <c r="G3" s="33" t="s">
        <v>65</v>
      </c>
      <c r="H3" s="34">
        <v>0.1</v>
      </c>
      <c r="I3" s="34">
        <v>0.2</v>
      </c>
      <c r="J3" s="34">
        <v>0.3</v>
      </c>
      <c r="K3" s="33" t="s">
        <v>82</v>
      </c>
      <c r="L3" s="34">
        <v>0.4</v>
      </c>
      <c r="M3" s="34">
        <v>0.5</v>
      </c>
      <c r="N3" s="34">
        <v>0.6</v>
      </c>
      <c r="O3" s="33" t="s">
        <v>83</v>
      </c>
      <c r="P3" s="34">
        <v>0.7</v>
      </c>
      <c r="Q3" s="34">
        <v>0.8</v>
      </c>
      <c r="R3" s="34">
        <v>0.9</v>
      </c>
      <c r="S3" s="33" t="s">
        <v>67</v>
      </c>
      <c r="T3" s="33" t="s">
        <v>74</v>
      </c>
      <c r="U3" s="34">
        <v>0.25</v>
      </c>
      <c r="V3" s="34">
        <v>0.5</v>
      </c>
      <c r="W3" s="34">
        <v>0.75</v>
      </c>
      <c r="X3" s="33" t="s">
        <v>73</v>
      </c>
    </row>
    <row r="4" spans="1:24" ht="39.950000000000003" customHeight="1" x14ac:dyDescent="0.25">
      <c r="A4" s="35" t="s">
        <v>34</v>
      </c>
      <c r="B4" s="32">
        <f>'deflection summary'!C5</f>
        <v>0</v>
      </c>
      <c r="C4" s="32">
        <f>'deflection summary'!C7</f>
        <v>4.5000000000000005E-3</v>
      </c>
      <c r="D4" s="32">
        <f>'deflection summary'!C9</f>
        <v>6.0000000000000001E-3</v>
      </c>
      <c r="E4" s="32">
        <f>'deflection summary'!C11</f>
        <v>4.5000000000000005E-3</v>
      </c>
      <c r="F4" s="32">
        <f>'deflection summary'!C13</f>
        <v>0</v>
      </c>
      <c r="G4" s="32">
        <f>'deflection summary'!C15</f>
        <v>0</v>
      </c>
      <c r="H4" s="29">
        <f>'deflection summary'!C17</f>
        <v>0.31900000000000001</v>
      </c>
      <c r="I4" s="29">
        <f>'deflection summary'!C19</f>
        <v>0.60299999999999998</v>
      </c>
      <c r="J4" s="29">
        <f>'deflection summary'!C21</f>
        <v>0.82599999999999996</v>
      </c>
      <c r="K4" s="29">
        <f>'deflection summary'!C23</f>
        <v>0.87347959183673463</v>
      </c>
      <c r="L4" s="29">
        <f>'deflection summary'!C25</f>
        <v>0.96699999999999997</v>
      </c>
      <c r="M4" s="29">
        <f>'deflection summary'!C27</f>
        <v>1.016</v>
      </c>
      <c r="N4" s="29">
        <f>'deflection summary'!C29</f>
        <v>0.96699999999999997</v>
      </c>
      <c r="O4" s="29">
        <f>'deflection summary'!C31</f>
        <v>0.87251546391752577</v>
      </c>
      <c r="P4" s="29">
        <f>'deflection summary'!C33</f>
        <v>0.82599999999999996</v>
      </c>
      <c r="Q4" s="29">
        <f>'deflection summary'!C35</f>
        <v>0.60299999999999998</v>
      </c>
      <c r="R4" s="29">
        <f>'deflection summary'!C37</f>
        <v>0.31900000000000001</v>
      </c>
      <c r="S4" s="29">
        <f>'deflection summary'!C39</f>
        <v>0</v>
      </c>
      <c r="T4" s="29">
        <f>'deflection summary'!C41</f>
        <v>0</v>
      </c>
      <c r="U4" s="29">
        <f>'deflection summary'!C43</f>
        <v>4.5000000000000005E-3</v>
      </c>
      <c r="V4" s="29">
        <f>'deflection summary'!C45</f>
        <v>6.0000000000000001E-3</v>
      </c>
      <c r="W4" s="29">
        <f>'deflection summary'!C47</f>
        <v>4.5000000000000005E-3</v>
      </c>
      <c r="X4" s="29">
        <f>'deflection summary'!C49</f>
        <v>0</v>
      </c>
    </row>
    <row r="5" spans="1:24" ht="39.950000000000003" customHeight="1" x14ac:dyDescent="0.25">
      <c r="A5" s="35" t="s">
        <v>35</v>
      </c>
      <c r="B5" s="32">
        <f>'deflection summary'!E5+'deflection summary'!G5</f>
        <v>0</v>
      </c>
      <c r="C5" s="32">
        <f>'deflection summary'!E7+'deflection summary'!G7</f>
        <v>2.7000000000000003E-2</v>
      </c>
      <c r="D5" s="32">
        <f>'deflection summary'!E9+'deflection summary'!G9</f>
        <v>3.7999999999999999E-2</v>
      </c>
      <c r="E5" s="32">
        <f>'deflection summary'!E11+'deflection summary'!G11</f>
        <v>2.75E-2</v>
      </c>
      <c r="F5" s="32">
        <f>'deflection summary'!E13+'deflection summary'!G13</f>
        <v>0</v>
      </c>
      <c r="G5" s="32">
        <f>'deflection summary'!E15+'deflection summary'!G15</f>
        <v>0</v>
      </c>
      <c r="H5" s="32">
        <f>'deflection summary'!E17+'deflection summary'!G17</f>
        <v>0.86899999999999999</v>
      </c>
      <c r="I5" s="32">
        <f>'deflection summary'!E19+'deflection summary'!G19</f>
        <v>1.6459999999999999</v>
      </c>
      <c r="J5" s="32">
        <f>'deflection summary'!E21+'deflection summary'!G21</f>
        <v>2.2520000000000002</v>
      </c>
      <c r="K5" s="32">
        <f>'deflection summary'!E23+'deflection summary'!G23</f>
        <v>2.3819795918367346</v>
      </c>
      <c r="L5" s="32">
        <f>'deflection summary'!E25+'deflection summary'!G25</f>
        <v>2.6379999999999999</v>
      </c>
      <c r="M5" s="32">
        <f>'deflection summary'!E27+'deflection summary'!G27</f>
        <v>2.77</v>
      </c>
      <c r="N5" s="32">
        <f>'deflection summary'!E29+'deflection summary'!G29</f>
        <v>2.6379999999999999</v>
      </c>
      <c r="O5" s="32">
        <f>'deflection summary'!E31+'deflection summary'!G31</f>
        <v>2.3793402061855673</v>
      </c>
      <c r="P5" s="32">
        <f>'deflection summary'!E33+'deflection summary'!G33</f>
        <v>2.2520000000000002</v>
      </c>
      <c r="Q5" s="32">
        <f>'deflection summary'!E35+'deflection summary'!G35</f>
        <v>1.6459999999999999</v>
      </c>
      <c r="R5" s="32">
        <f>'deflection summary'!E37+'deflection summary'!G37</f>
        <v>0.87</v>
      </c>
      <c r="S5" s="32">
        <f>'deflection summary'!E39+'deflection summary'!G39</f>
        <v>0</v>
      </c>
      <c r="T5" s="32">
        <f>'deflection summary'!E41+'deflection summary'!G41</f>
        <v>0</v>
      </c>
      <c r="U5" s="32">
        <f>'deflection summary'!E43+'deflection summary'!G43</f>
        <v>2.7000000000000003E-2</v>
      </c>
      <c r="V5" s="32">
        <f>'deflection summary'!E45+'deflection summary'!G45</f>
        <v>3.7999999999999999E-2</v>
      </c>
      <c r="W5" s="32">
        <f>'deflection summary'!E47+'deflection summary'!G47</f>
        <v>2.75E-2</v>
      </c>
      <c r="X5" s="32">
        <f>'deflection summary'!E49+'deflection summary'!G49</f>
        <v>0</v>
      </c>
    </row>
    <row r="6" spans="1:24" ht="39.950000000000003" customHeight="1" x14ac:dyDescent="0.25">
      <c r="A6" s="35" t="s">
        <v>36</v>
      </c>
      <c r="B6" s="32">
        <f>'Final Deck Calc'!G67*12</f>
        <v>0</v>
      </c>
      <c r="C6" s="32">
        <f>'Final Deck Calc'!G69*12</f>
        <v>0.54263671874923602</v>
      </c>
      <c r="D6" s="32">
        <f>'Final Deck Calc'!G71*12</f>
        <v>0.72351562500261934</v>
      </c>
      <c r="E6" s="32">
        <f>'Final Deck Calc'!G73*12</f>
        <v>0.54263671875196451</v>
      </c>
      <c r="F6" s="32">
        <f>'Final Deck Calc'!G75*12</f>
        <v>0</v>
      </c>
      <c r="G6" s="32">
        <f>'Final Deck Calc'!G77*12</f>
        <v>0</v>
      </c>
      <c r="H6" s="29">
        <f>'Final Deck Calc'!G79*12</f>
        <v>3.5933625000006941</v>
      </c>
      <c r="I6" s="29">
        <f>'Final Deck Calc'!G81*12</f>
        <v>6.3882000000021435</v>
      </c>
      <c r="J6" s="29">
        <f>'Final Deck Calc'!G83*12</f>
        <v>8.3845124999988911</v>
      </c>
      <c r="K6" s="29">
        <f>'Final Deck Calc'!G85*12</f>
        <v>8.8725000000013097</v>
      </c>
      <c r="L6" s="29">
        <f>'Final Deck Calc'!G87*12</f>
        <v>9.5822999999991225</v>
      </c>
      <c r="M6" s="29">
        <f>'Final Deck Calc'!G89*12</f>
        <v>9.9815625000001091</v>
      </c>
      <c r="N6" s="29">
        <f>'Final Deck Calc'!G91*12</f>
        <v>9.582300000001851</v>
      </c>
      <c r="O6" s="29">
        <f>'Final Deck Calc'!G93*12</f>
        <v>8.8725000000013097</v>
      </c>
      <c r="P6" s="29">
        <f>'Final Deck Calc'!G95*12</f>
        <v>8.3845125000016196</v>
      </c>
      <c r="Q6" s="29">
        <f>'Final Deck Calc'!G97*12</f>
        <v>6.388199999999415</v>
      </c>
      <c r="R6" s="29">
        <f>'Final Deck Calc'!G99*12</f>
        <v>3.5933625000006941</v>
      </c>
      <c r="S6" s="32">
        <f>'Final Deck Calc'!G101*12</f>
        <v>0</v>
      </c>
      <c r="T6" s="32">
        <f>'Final Deck Calc'!G103*12</f>
        <v>0</v>
      </c>
      <c r="U6" s="32">
        <f>'Final Deck Calc'!G105*12</f>
        <v>0.54263671875196451</v>
      </c>
      <c r="V6" s="32">
        <f>'Final Deck Calc'!G107*12</f>
        <v>0.72351562500261934</v>
      </c>
      <c r="W6" s="32">
        <f>'Final Deck Calc'!G109*12</f>
        <v>0.54263671874923602</v>
      </c>
      <c r="X6" s="32">
        <f>'Final Deck Calc'!G111*12</f>
        <v>0</v>
      </c>
    </row>
    <row r="7" spans="1:24" ht="39.950000000000003" customHeight="1" x14ac:dyDescent="0.25">
      <c r="A7" s="35" t="s">
        <v>25</v>
      </c>
      <c r="B7" s="32">
        <f t="shared" ref="B7:X7" si="0">SUM(B4:B6)</f>
        <v>0</v>
      </c>
      <c r="C7" s="32">
        <f t="shared" si="0"/>
        <v>0.574136718749236</v>
      </c>
      <c r="D7" s="32">
        <f t="shared" si="0"/>
        <v>0.76751562500261938</v>
      </c>
      <c r="E7" s="32">
        <f t="shared" si="0"/>
        <v>0.57463671875196454</v>
      </c>
      <c r="F7" s="32">
        <f t="shared" si="0"/>
        <v>0</v>
      </c>
      <c r="G7" s="32">
        <f t="shared" si="0"/>
        <v>0</v>
      </c>
      <c r="H7" s="32">
        <f t="shared" si="0"/>
        <v>4.7813625000006938</v>
      </c>
      <c r="I7" s="32">
        <f t="shared" si="0"/>
        <v>8.6372000000021423</v>
      </c>
      <c r="J7" s="32">
        <f t="shared" si="0"/>
        <v>11.462512499998891</v>
      </c>
      <c r="K7" s="32">
        <f t="shared" si="0"/>
        <v>12.127959183674779</v>
      </c>
      <c r="L7" s="32">
        <f t="shared" si="0"/>
        <v>13.187299999999123</v>
      </c>
      <c r="M7" s="32">
        <f t="shared" si="0"/>
        <v>13.767562500000109</v>
      </c>
      <c r="N7" s="32">
        <f t="shared" si="0"/>
        <v>13.187300000001851</v>
      </c>
      <c r="O7" s="32">
        <f t="shared" si="0"/>
        <v>12.124355670104404</v>
      </c>
      <c r="P7" s="32">
        <f t="shared" si="0"/>
        <v>11.462512500001619</v>
      </c>
      <c r="Q7" s="32">
        <f t="shared" si="0"/>
        <v>8.6371999999994138</v>
      </c>
      <c r="R7" s="32">
        <f t="shared" si="0"/>
        <v>4.7823625000006942</v>
      </c>
      <c r="S7" s="32">
        <f t="shared" si="0"/>
        <v>0</v>
      </c>
      <c r="T7" s="32">
        <f t="shared" si="0"/>
        <v>0</v>
      </c>
      <c r="U7" s="32">
        <f t="shared" si="0"/>
        <v>0.57413671875196448</v>
      </c>
      <c r="V7" s="32">
        <f t="shared" si="0"/>
        <v>0.76751562500261938</v>
      </c>
      <c r="W7" s="32">
        <f t="shared" si="0"/>
        <v>0.57463671874923605</v>
      </c>
      <c r="X7" s="32">
        <f t="shared" si="0"/>
        <v>0</v>
      </c>
    </row>
    <row r="8" spans="1:24" ht="41.25" customHeight="1" x14ac:dyDescent="0.25"/>
    <row r="10" spans="1:24" ht="18" x14ac:dyDescent="0.25">
      <c r="A10" s="116" t="s">
        <v>80</v>
      </c>
      <c r="B10" s="116"/>
      <c r="C10" s="116"/>
      <c r="D10" s="116"/>
      <c r="E10" s="116"/>
      <c r="F10" s="116"/>
      <c r="G10" s="116"/>
      <c r="H10" s="116"/>
      <c r="I10" s="116"/>
      <c r="J10" s="116"/>
      <c r="K10" s="116"/>
      <c r="L10" s="116"/>
      <c r="M10" s="116"/>
      <c r="N10" s="116"/>
      <c r="O10" s="116"/>
      <c r="P10" s="116"/>
      <c r="Q10" s="116"/>
      <c r="R10" s="116"/>
      <c r="S10" s="116"/>
      <c r="T10" s="116"/>
      <c r="U10" s="116"/>
      <c r="V10" s="116"/>
      <c r="W10" s="116"/>
      <c r="X10" s="116"/>
    </row>
    <row r="11" spans="1:24" ht="22.5" customHeight="1" x14ac:dyDescent="0.25">
      <c r="A11" s="114"/>
      <c r="B11" s="114" t="s">
        <v>22</v>
      </c>
      <c r="C11" s="114"/>
      <c r="D11" s="114"/>
      <c r="E11" s="114"/>
      <c r="F11" s="114"/>
      <c r="G11" s="114" t="s">
        <v>58</v>
      </c>
      <c r="H11" s="114"/>
      <c r="I11" s="114"/>
      <c r="J11" s="114"/>
      <c r="K11" s="114"/>
      <c r="L11" s="114"/>
      <c r="M11" s="114"/>
      <c r="N11" s="114"/>
      <c r="O11" s="114"/>
      <c r="P11" s="114"/>
      <c r="Q11" s="114"/>
      <c r="R11" s="114"/>
      <c r="S11" s="114"/>
      <c r="T11" s="114" t="s">
        <v>66</v>
      </c>
      <c r="U11" s="114"/>
      <c r="V11" s="114"/>
      <c r="W11" s="114"/>
      <c r="X11" s="114"/>
    </row>
    <row r="12" spans="1:24" ht="51" x14ac:dyDescent="0.25">
      <c r="A12" s="114"/>
      <c r="B12" s="33" t="s">
        <v>72</v>
      </c>
      <c r="C12" s="34">
        <v>0.25</v>
      </c>
      <c r="D12" s="34">
        <v>0.5</v>
      </c>
      <c r="E12" s="34">
        <v>0.75</v>
      </c>
      <c r="F12" s="33" t="s">
        <v>64</v>
      </c>
      <c r="G12" s="33" t="s">
        <v>65</v>
      </c>
      <c r="H12" s="34">
        <v>0.1</v>
      </c>
      <c r="I12" s="34">
        <v>0.2</v>
      </c>
      <c r="J12" s="34">
        <v>0.3</v>
      </c>
      <c r="K12" s="33" t="s">
        <v>82</v>
      </c>
      <c r="L12" s="34">
        <v>0.4</v>
      </c>
      <c r="M12" s="34">
        <v>0.5</v>
      </c>
      <c r="N12" s="34">
        <v>0.6</v>
      </c>
      <c r="O12" s="33" t="s">
        <v>83</v>
      </c>
      <c r="P12" s="34">
        <v>0.7</v>
      </c>
      <c r="Q12" s="34">
        <v>0.8</v>
      </c>
      <c r="R12" s="34">
        <v>0.9</v>
      </c>
      <c r="S12" s="33" t="s">
        <v>67</v>
      </c>
      <c r="T12" s="33" t="s">
        <v>74</v>
      </c>
      <c r="U12" s="34">
        <v>0.25</v>
      </c>
      <c r="V12" s="34">
        <v>0.5</v>
      </c>
      <c r="W12" s="34">
        <v>0.75</v>
      </c>
      <c r="X12" s="33" t="s">
        <v>73</v>
      </c>
    </row>
    <row r="13" spans="1:24" ht="39.950000000000003" customHeight="1" x14ac:dyDescent="0.25">
      <c r="A13" s="35" t="s">
        <v>34</v>
      </c>
      <c r="B13" s="32">
        <f>'deflection summary'!D5</f>
        <v>0</v>
      </c>
      <c r="C13" s="32">
        <f>'deflection summary'!D7</f>
        <v>4.5000000000000005E-3</v>
      </c>
      <c r="D13" s="32">
        <f>'deflection summary'!D9</f>
        <v>6.0000000000000001E-3</v>
      </c>
      <c r="E13" s="32">
        <f>'deflection summary'!D11</f>
        <v>4.5000000000000005E-3</v>
      </c>
      <c r="F13" s="32">
        <f>'deflection summary'!D13</f>
        <v>0</v>
      </c>
      <c r="G13" s="32">
        <f>'deflection summary'!D15</f>
        <v>0</v>
      </c>
      <c r="H13" s="29">
        <f>'deflection summary'!D17</f>
        <v>0.31900000000000001</v>
      </c>
      <c r="I13" s="29">
        <f>'deflection summary'!D19</f>
        <v>0.60299999999999998</v>
      </c>
      <c r="J13" s="29">
        <f>'deflection summary'!D21</f>
        <v>0.82599999999999996</v>
      </c>
      <c r="K13" s="29">
        <f>'deflection summary'!D23</f>
        <v>0.87347959183673463</v>
      </c>
      <c r="L13" s="29">
        <f>'deflection summary'!D25</f>
        <v>0.96699999999999997</v>
      </c>
      <c r="M13" s="29">
        <f>'deflection summary'!D27</f>
        <v>1.016</v>
      </c>
      <c r="N13" s="29">
        <f>'deflection summary'!D29</f>
        <v>0.96699999999999997</v>
      </c>
      <c r="O13" s="29">
        <f>'deflection summary'!D31</f>
        <v>0.87251546391752577</v>
      </c>
      <c r="P13" s="29">
        <f>'deflection summary'!D33</f>
        <v>0.82599999999999996</v>
      </c>
      <c r="Q13" s="29">
        <f>'deflection summary'!D35</f>
        <v>0.60299999999999998</v>
      </c>
      <c r="R13" s="29">
        <f>'deflection summary'!D37</f>
        <v>0.31900000000000001</v>
      </c>
      <c r="S13" s="29">
        <f>'deflection summary'!D39</f>
        <v>0</v>
      </c>
      <c r="T13" s="29">
        <f>'deflection summary'!D41</f>
        <v>0</v>
      </c>
      <c r="U13" s="29">
        <f>'deflection summary'!D43</f>
        <v>4.5000000000000005E-3</v>
      </c>
      <c r="V13" s="29">
        <f>'deflection summary'!D45</f>
        <v>6.0000000000000001E-3</v>
      </c>
      <c r="W13" s="29">
        <f>'deflection summary'!D47</f>
        <v>4.5000000000000005E-3</v>
      </c>
      <c r="X13" s="29">
        <f>'deflection summary'!D49</f>
        <v>0</v>
      </c>
    </row>
    <row r="14" spans="1:24" ht="39.950000000000003" customHeight="1" x14ac:dyDescent="0.25">
      <c r="A14" s="35" t="s">
        <v>35</v>
      </c>
      <c r="B14" s="32">
        <f>'deflection summary'!F5+'deflection summary'!H5</f>
        <v>0</v>
      </c>
      <c r="C14" s="32">
        <f>'deflection summary'!F7+'deflection summary'!H7</f>
        <v>2.9499999999999998E-2</v>
      </c>
      <c r="D14" s="32">
        <f>'deflection summary'!F9+'deflection summary'!H9</f>
        <v>4.2000000000000003E-2</v>
      </c>
      <c r="E14" s="32">
        <f>'deflection summary'!F11+'deflection summary'!H11</f>
        <v>2.9499999999999998E-2</v>
      </c>
      <c r="F14" s="32">
        <f>'deflection summary'!F13+'deflection summary'!H13</f>
        <v>0</v>
      </c>
      <c r="G14" s="32">
        <f>'deflection summary'!F15+'deflection summary'!H15</f>
        <v>0</v>
      </c>
      <c r="H14" s="32">
        <f>'deflection summary'!F17+'deflection summary'!H17</f>
        <v>0.93100000000000005</v>
      </c>
      <c r="I14" s="32">
        <f>'deflection summary'!F19+'deflection summary'!H19</f>
        <v>1.7610000000000001</v>
      </c>
      <c r="J14" s="32">
        <f>'deflection summary'!F21+'deflection summary'!H21</f>
        <v>2.4119999999999999</v>
      </c>
      <c r="K14" s="32">
        <f>'deflection summary'!F23+'deflection summary'!H23</f>
        <v>2.5507346938775513</v>
      </c>
      <c r="L14" s="32">
        <f>'deflection summary'!F25+'deflection summary'!H25</f>
        <v>2.8239999999999998</v>
      </c>
      <c r="M14" s="32">
        <f>'deflection summary'!F27+'deflection summary'!H27</f>
        <v>2.9659999999999997</v>
      </c>
      <c r="N14" s="32">
        <f>'deflection summary'!F29+'deflection summary'!H29</f>
        <v>2.8250000000000002</v>
      </c>
      <c r="O14" s="32">
        <f>'deflection summary'!F31+'deflection summary'!H31</f>
        <v>2.5482474226804124</v>
      </c>
      <c r="P14" s="32">
        <f>'deflection summary'!F33+'deflection summary'!H33</f>
        <v>2.4119999999999999</v>
      </c>
      <c r="Q14" s="32">
        <f>'deflection summary'!F35+'deflection summary'!H35</f>
        <v>1.7629999999999999</v>
      </c>
      <c r="R14" s="32">
        <f>'deflection summary'!F37+'deflection summary'!H37</f>
        <v>0.93200000000000005</v>
      </c>
      <c r="S14" s="32">
        <f>'deflection summary'!F39+'deflection summary'!H39</f>
        <v>0</v>
      </c>
      <c r="T14" s="32">
        <f>'deflection summary'!F41+'deflection summary'!H41</f>
        <v>0</v>
      </c>
      <c r="U14" s="32">
        <f>'deflection summary'!F43+'deflection summary'!H43</f>
        <v>2.9499999999999998E-2</v>
      </c>
      <c r="V14" s="32">
        <f>'deflection summary'!F45+'deflection summary'!H45</f>
        <v>4.2000000000000003E-2</v>
      </c>
      <c r="W14" s="32">
        <f>'deflection summary'!F47+'deflection summary'!H47</f>
        <v>2.9499999999999998E-2</v>
      </c>
      <c r="X14" s="32">
        <f>'deflection summary'!F49+'deflection summary'!H49</f>
        <v>0</v>
      </c>
    </row>
    <row r="15" spans="1:24" ht="39.950000000000003" customHeight="1" x14ac:dyDescent="0.25">
      <c r="A15" s="35" t="s">
        <v>36</v>
      </c>
      <c r="B15" s="32">
        <f>'Final Deck Calc'!I67*12</f>
        <v>0</v>
      </c>
      <c r="C15" s="32">
        <f>'Final Deck Calc'!I69*12</f>
        <v>0.54263671874923602</v>
      </c>
      <c r="D15" s="32">
        <f>'Final Deck Calc'!I71*12</f>
        <v>0.72351562499989086</v>
      </c>
      <c r="E15" s="32">
        <f>'Final Deck Calc'!I73*12</f>
        <v>0.54263671875196451</v>
      </c>
      <c r="F15" s="32">
        <f>'Final Deck Calc'!I75*12</f>
        <v>0</v>
      </c>
      <c r="G15" s="32">
        <f>'Final Deck Calc'!I77*12</f>
        <v>0</v>
      </c>
      <c r="H15" s="32">
        <f>'Final Deck Calc'!I79*12</f>
        <v>3.5933625000006941</v>
      </c>
      <c r="I15" s="32">
        <f>'Final Deck Calc'!I81*12</f>
        <v>6.3882000000021435</v>
      </c>
      <c r="J15" s="32">
        <f>'Final Deck Calc'!I83*12</f>
        <v>8.3845124999988911</v>
      </c>
      <c r="K15" s="32">
        <f>'Final Deck Calc'!I85*12</f>
        <v>8.8725000000013097</v>
      </c>
      <c r="L15" s="32">
        <f>'Final Deck Calc'!I87*12</f>
        <v>9.5822999999991225</v>
      </c>
      <c r="M15" s="32">
        <f>'Final Deck Calc'!I89*12</f>
        <v>9.9815625000001091</v>
      </c>
      <c r="N15" s="32">
        <f>'Final Deck Calc'!I91*12</f>
        <v>9.582300000001851</v>
      </c>
      <c r="O15" s="32">
        <f>'Final Deck Calc'!I93*12</f>
        <v>8.8725000000013097</v>
      </c>
      <c r="P15" s="32">
        <f>'Final Deck Calc'!I95*12</f>
        <v>8.3845125000016196</v>
      </c>
      <c r="Q15" s="32">
        <f>'Final Deck Calc'!I97*12</f>
        <v>6.388199999999415</v>
      </c>
      <c r="R15" s="32">
        <f>'Final Deck Calc'!I99*12</f>
        <v>3.5933625000006941</v>
      </c>
      <c r="S15" s="32">
        <f>'Final Deck Calc'!I101*12</f>
        <v>0</v>
      </c>
      <c r="T15" s="32">
        <f>'Final Deck Calc'!I103*12</f>
        <v>0</v>
      </c>
      <c r="U15" s="32">
        <f>'Final Deck Calc'!I105*12</f>
        <v>0.54263671875196451</v>
      </c>
      <c r="V15" s="32">
        <f>'Final Deck Calc'!I107*12</f>
        <v>0.72351562499989086</v>
      </c>
      <c r="W15" s="32">
        <f>'Final Deck Calc'!I109*12</f>
        <v>0.54263671874923602</v>
      </c>
      <c r="X15" s="32">
        <f>'Final Deck Calc'!I111*12</f>
        <v>0</v>
      </c>
    </row>
    <row r="16" spans="1:24" ht="39.950000000000003" customHeight="1" x14ac:dyDescent="0.25">
      <c r="A16" s="35" t="s">
        <v>25</v>
      </c>
      <c r="B16" s="32">
        <f t="shared" ref="B16:S16" si="1">SUM(B13:B15)</f>
        <v>0</v>
      </c>
      <c r="C16" s="32">
        <f t="shared" si="1"/>
        <v>0.57663671874923605</v>
      </c>
      <c r="D16" s="32">
        <f t="shared" si="1"/>
        <v>0.7715156249998909</v>
      </c>
      <c r="E16" s="32">
        <f t="shared" si="1"/>
        <v>0.57663671875196454</v>
      </c>
      <c r="F16" s="32">
        <f t="shared" si="1"/>
        <v>0</v>
      </c>
      <c r="G16" s="32">
        <f t="shared" si="1"/>
        <v>0</v>
      </c>
      <c r="H16" s="32">
        <f t="shared" si="1"/>
        <v>4.8433625000006941</v>
      </c>
      <c r="I16" s="32">
        <f t="shared" si="1"/>
        <v>8.7522000000021443</v>
      </c>
      <c r="J16" s="32">
        <f t="shared" si="1"/>
        <v>11.622512499998891</v>
      </c>
      <c r="K16" s="32">
        <f t="shared" si="1"/>
        <v>12.296714285715595</v>
      </c>
      <c r="L16" s="32">
        <f t="shared" si="1"/>
        <v>13.373299999999123</v>
      </c>
      <c r="M16" s="32">
        <f t="shared" si="1"/>
        <v>13.963562500000108</v>
      </c>
      <c r="N16" s="32">
        <f t="shared" si="1"/>
        <v>13.374300000001851</v>
      </c>
      <c r="O16" s="32">
        <f t="shared" si="1"/>
        <v>12.293262886599248</v>
      </c>
      <c r="P16" s="32">
        <f t="shared" si="1"/>
        <v>11.622512500001619</v>
      </c>
      <c r="Q16" s="32">
        <f t="shared" si="1"/>
        <v>8.7541999999994147</v>
      </c>
      <c r="R16" s="32">
        <f t="shared" si="1"/>
        <v>4.8443625000006945</v>
      </c>
      <c r="S16" s="32">
        <f t="shared" si="1"/>
        <v>0</v>
      </c>
      <c r="T16" s="32">
        <f t="shared" ref="T16:X16" si="2">SUM(T13:T15)</f>
        <v>0</v>
      </c>
      <c r="U16" s="32">
        <f t="shared" si="2"/>
        <v>0.57663671875196454</v>
      </c>
      <c r="V16" s="32">
        <f t="shared" si="2"/>
        <v>0.7715156249998909</v>
      </c>
      <c r="W16" s="32">
        <f t="shared" si="2"/>
        <v>0.57663671874923605</v>
      </c>
      <c r="X16" s="32">
        <f t="shared" si="2"/>
        <v>0</v>
      </c>
    </row>
    <row r="19" spans="2:24" x14ac:dyDescent="0.25">
      <c r="B19" s="2">
        <f t="shared" ref="B19:X19" si="3">B7-B16</f>
        <v>0</v>
      </c>
      <c r="C19" s="2">
        <f t="shared" si="3"/>
        <v>-2.5000000000000577E-3</v>
      </c>
      <c r="D19" s="2">
        <f t="shared" si="3"/>
        <v>-3.9999999972715194E-3</v>
      </c>
      <c r="E19" s="2">
        <f t="shared" si="3"/>
        <v>-2.0000000000000018E-3</v>
      </c>
      <c r="F19" s="2">
        <f t="shared" si="3"/>
        <v>0</v>
      </c>
      <c r="G19" s="2">
        <f t="shared" si="3"/>
        <v>0</v>
      </c>
      <c r="H19" s="2">
        <f t="shared" si="3"/>
        <v>-6.2000000000000277E-2</v>
      </c>
      <c r="I19" s="2">
        <f t="shared" si="3"/>
        <v>-0.11500000000000199</v>
      </c>
      <c r="J19" s="2">
        <f t="shared" si="3"/>
        <v>-0.16000000000000014</v>
      </c>
      <c r="K19" s="2">
        <f t="shared" si="3"/>
        <v>-0.16875510204081579</v>
      </c>
      <c r="L19" s="2">
        <f t="shared" si="3"/>
        <v>-0.18599999999999994</v>
      </c>
      <c r="M19" s="2">
        <f t="shared" si="3"/>
        <v>-0.19599999999999973</v>
      </c>
      <c r="N19" s="2">
        <f t="shared" si="3"/>
        <v>-0.18699999999999939</v>
      </c>
      <c r="O19" s="2">
        <f t="shared" si="3"/>
        <v>-0.16890721649484419</v>
      </c>
      <c r="P19" s="2">
        <f t="shared" si="3"/>
        <v>-0.16000000000000014</v>
      </c>
      <c r="Q19" s="2">
        <f t="shared" si="3"/>
        <v>-0.11700000000000088</v>
      </c>
      <c r="R19" s="2">
        <f t="shared" si="3"/>
        <v>-6.2000000000000277E-2</v>
      </c>
      <c r="S19" s="2">
        <f t="shared" si="3"/>
        <v>0</v>
      </c>
      <c r="T19" s="2">
        <f t="shared" si="3"/>
        <v>0</v>
      </c>
      <c r="U19" s="2">
        <f t="shared" si="3"/>
        <v>-2.5000000000000577E-3</v>
      </c>
      <c r="V19" s="2">
        <f t="shared" si="3"/>
        <v>-3.9999999972715194E-3</v>
      </c>
      <c r="W19" s="2">
        <f t="shared" si="3"/>
        <v>-2.0000000000000018E-3</v>
      </c>
      <c r="X19" s="2">
        <f t="shared" si="3"/>
        <v>0</v>
      </c>
    </row>
  </sheetData>
  <mergeCells count="10">
    <mergeCell ref="T2:X2"/>
    <mergeCell ref="A1:X1"/>
    <mergeCell ref="B11:F11"/>
    <mergeCell ref="T11:X11"/>
    <mergeCell ref="A10:X10"/>
    <mergeCell ref="G2:S2"/>
    <mergeCell ref="A11:A12"/>
    <mergeCell ref="G11:S11"/>
    <mergeCell ref="A2:A3"/>
    <mergeCell ref="B2:F2"/>
  </mergeCells>
  <pageMargins left="0.7" right="0.7" top="0.75" bottom="0.75" header="0.3" footer="0.3"/>
  <pageSetup paperSize="17" scale="67" orientation="landscape" r:id="rId1"/>
  <headerFooter>
    <oddHeader>&amp;L&amp;Z&amp;F&amp;CCalculated by AMT&amp;R4/2/19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9"/>
  <sheetViews>
    <sheetView tabSelected="1" zoomScale="75" zoomScaleNormal="75" workbookViewId="0">
      <selection activeCell="G8" sqref="G8"/>
    </sheetView>
  </sheetViews>
  <sheetFormatPr defaultRowHeight="15" x14ac:dyDescent="0.25"/>
  <cols>
    <col min="1" max="1" width="36.7109375" customWidth="1"/>
    <col min="2" max="6" width="8.85546875" customWidth="1"/>
    <col min="7" max="19" width="8.85546875" style="2" customWidth="1"/>
    <col min="20" max="24" width="8.85546875" customWidth="1"/>
    <col min="27" max="28" width="9.85546875" bestFit="1" customWidth="1"/>
  </cols>
  <sheetData>
    <row r="1" spans="1:24" ht="24" customHeight="1" x14ac:dyDescent="0.25">
      <c r="A1" s="118" t="s">
        <v>100</v>
      </c>
      <c r="B1" s="119"/>
      <c r="C1" s="119"/>
      <c r="D1" s="119"/>
      <c r="E1" s="119"/>
      <c r="F1" s="119"/>
      <c r="G1" s="119"/>
      <c r="H1" s="119"/>
      <c r="I1" s="119"/>
      <c r="J1" s="119"/>
      <c r="K1" s="119"/>
      <c r="L1" s="119"/>
      <c r="M1" s="119"/>
      <c r="N1" s="119"/>
      <c r="O1" s="119"/>
      <c r="P1" s="119"/>
      <c r="Q1" s="119"/>
      <c r="R1" s="119"/>
      <c r="S1" s="119"/>
      <c r="T1" s="119"/>
      <c r="U1" s="119"/>
      <c r="V1" s="119"/>
      <c r="W1" s="119"/>
      <c r="X1" s="120"/>
    </row>
    <row r="2" spans="1:24" ht="22.5" customHeight="1" x14ac:dyDescent="0.25">
      <c r="A2" s="117"/>
      <c r="B2" s="114" t="s">
        <v>22</v>
      </c>
      <c r="C2" s="114"/>
      <c r="D2" s="114"/>
      <c r="E2" s="114"/>
      <c r="F2" s="114"/>
      <c r="G2" s="114" t="s">
        <v>58</v>
      </c>
      <c r="H2" s="114"/>
      <c r="I2" s="114"/>
      <c r="J2" s="114"/>
      <c r="K2" s="114"/>
      <c r="L2" s="114"/>
      <c r="M2" s="114"/>
      <c r="N2" s="114"/>
      <c r="O2" s="114"/>
      <c r="P2" s="114"/>
      <c r="Q2" s="114"/>
      <c r="R2" s="114"/>
      <c r="S2" s="114"/>
      <c r="T2" s="114" t="s">
        <v>66</v>
      </c>
      <c r="U2" s="114"/>
      <c r="V2" s="114"/>
      <c r="W2" s="114"/>
      <c r="X2" s="121"/>
    </row>
    <row r="3" spans="1:24" ht="51" customHeight="1" x14ac:dyDescent="0.25">
      <c r="A3" s="117"/>
      <c r="B3" s="33" t="s">
        <v>72</v>
      </c>
      <c r="C3" s="34">
        <v>0.25</v>
      </c>
      <c r="D3" s="34">
        <v>0.5</v>
      </c>
      <c r="E3" s="34">
        <v>0.75</v>
      </c>
      <c r="F3" s="33" t="s">
        <v>64</v>
      </c>
      <c r="G3" s="33" t="s">
        <v>65</v>
      </c>
      <c r="H3" s="34">
        <v>0.1</v>
      </c>
      <c r="I3" s="34">
        <v>0.2</v>
      </c>
      <c r="J3" s="34">
        <v>0.3</v>
      </c>
      <c r="K3" s="33" t="s">
        <v>82</v>
      </c>
      <c r="L3" s="34">
        <v>0.4</v>
      </c>
      <c r="M3" s="34">
        <v>0.5</v>
      </c>
      <c r="N3" s="34">
        <v>0.6</v>
      </c>
      <c r="O3" s="33" t="s">
        <v>83</v>
      </c>
      <c r="P3" s="34">
        <v>0.7</v>
      </c>
      <c r="Q3" s="34">
        <v>0.8</v>
      </c>
      <c r="R3" s="34">
        <v>0.9</v>
      </c>
      <c r="S3" s="33" t="s">
        <v>67</v>
      </c>
      <c r="T3" s="33" t="s">
        <v>74</v>
      </c>
      <c r="U3" s="34">
        <v>0.25</v>
      </c>
      <c r="V3" s="34">
        <v>0.5</v>
      </c>
      <c r="W3" s="34">
        <v>0.75</v>
      </c>
      <c r="X3" s="86" t="s">
        <v>73</v>
      </c>
    </row>
    <row r="4" spans="1:24" ht="39.950000000000003" customHeight="1" x14ac:dyDescent="0.25">
      <c r="A4" s="87" t="s">
        <v>34</v>
      </c>
      <c r="B4" s="37">
        <f>'Defl and Camber Table'!B4</f>
        <v>0</v>
      </c>
      <c r="C4" s="37">
        <f>'Defl and Camber Table'!C4</f>
        <v>4.5000000000000005E-3</v>
      </c>
      <c r="D4" s="37">
        <f>'Defl and Camber Table'!D4</f>
        <v>6.0000000000000001E-3</v>
      </c>
      <c r="E4" s="37">
        <f>'Defl and Camber Table'!E4</f>
        <v>4.5000000000000005E-3</v>
      </c>
      <c r="F4" s="37">
        <f>'Defl and Camber Table'!F4</f>
        <v>0</v>
      </c>
      <c r="G4" s="37">
        <f>'Defl and Camber Table'!G4</f>
        <v>0</v>
      </c>
      <c r="H4" s="37">
        <f>'Defl and Camber Table'!H4</f>
        <v>0.31900000000000001</v>
      </c>
      <c r="I4" s="92">
        <f>'Defl and Camber Table'!I4</f>
        <v>0.60299999999999998</v>
      </c>
      <c r="J4" s="37">
        <f>'Defl and Camber Table'!J4</f>
        <v>0.82599999999999996</v>
      </c>
      <c r="K4" s="92">
        <f>'Defl and Camber Table'!K4</f>
        <v>0.87347959183673463</v>
      </c>
      <c r="L4" s="37">
        <f>'Defl and Camber Table'!L4</f>
        <v>0.96699999999999997</v>
      </c>
      <c r="M4" s="37">
        <f>'Defl and Camber Table'!M4</f>
        <v>1.016</v>
      </c>
      <c r="N4" s="37">
        <f>'Defl and Camber Table'!N4</f>
        <v>0.96699999999999997</v>
      </c>
      <c r="O4" s="92">
        <f>'Defl and Camber Table'!O4</f>
        <v>0.87251546391752577</v>
      </c>
      <c r="P4" s="37">
        <f>'Defl and Camber Table'!P4</f>
        <v>0.82599999999999996</v>
      </c>
      <c r="Q4" s="92">
        <f>'Defl and Camber Table'!Q4</f>
        <v>0.60299999999999998</v>
      </c>
      <c r="R4" s="37">
        <f>'Defl and Camber Table'!R4</f>
        <v>0.31900000000000001</v>
      </c>
      <c r="S4" s="37">
        <f>'Defl and Camber Table'!S4</f>
        <v>0</v>
      </c>
      <c r="T4" s="37">
        <f>'Defl and Camber Table'!T4</f>
        <v>0</v>
      </c>
      <c r="U4" s="37">
        <f>'Defl and Camber Table'!U4</f>
        <v>4.5000000000000005E-3</v>
      </c>
      <c r="V4" s="37">
        <f>'Defl and Camber Table'!V4</f>
        <v>6.0000000000000001E-3</v>
      </c>
      <c r="W4" s="37">
        <f>'Defl and Camber Table'!W4</f>
        <v>4.5000000000000005E-3</v>
      </c>
      <c r="X4" s="88">
        <f>'Defl and Camber Table'!X4</f>
        <v>0</v>
      </c>
    </row>
    <row r="5" spans="1:24" ht="39.950000000000003" customHeight="1" x14ac:dyDescent="0.25">
      <c r="A5" s="87" t="s">
        <v>35</v>
      </c>
      <c r="B5" s="37">
        <f>'Defl and Camber Table'!B5</f>
        <v>0</v>
      </c>
      <c r="C5" s="37">
        <f>'Defl and Camber Table'!C5</f>
        <v>2.7000000000000003E-2</v>
      </c>
      <c r="D5" s="37">
        <f>'Defl and Camber Table'!D5</f>
        <v>3.7999999999999999E-2</v>
      </c>
      <c r="E5" s="37">
        <f>'Defl and Camber Table'!E5</f>
        <v>2.75E-2</v>
      </c>
      <c r="F5" s="37">
        <f>'Defl and Camber Table'!F5</f>
        <v>0</v>
      </c>
      <c r="G5" s="37">
        <f>'Defl and Camber Table'!G5</f>
        <v>0</v>
      </c>
      <c r="H5" s="92">
        <f>'Defl and Camber Table'!H5</f>
        <v>0.86899999999999999</v>
      </c>
      <c r="I5" s="92">
        <f>'Defl and Camber Table'!I5</f>
        <v>1.6459999999999999</v>
      </c>
      <c r="J5" s="95">
        <f>'Defl and Camber Table'!J5</f>
        <v>2.2520000000000002</v>
      </c>
      <c r="K5" s="92">
        <f>'Defl and Camber Table'!K5</f>
        <v>2.3819795918367346</v>
      </c>
      <c r="L5" s="92">
        <f>'Defl and Camber Table'!L5</f>
        <v>2.6379999999999999</v>
      </c>
      <c r="M5" s="95">
        <f>'Defl and Camber Table'!M5</f>
        <v>2.77</v>
      </c>
      <c r="N5" s="92">
        <f>'Defl and Camber Table'!N5</f>
        <v>2.6379999999999999</v>
      </c>
      <c r="O5" s="92">
        <f>'Defl and Camber Table'!O5</f>
        <v>2.3793402061855673</v>
      </c>
      <c r="P5" s="95">
        <f>'Defl and Camber Table'!P5</f>
        <v>2.2520000000000002</v>
      </c>
      <c r="Q5" s="92">
        <f>'Defl and Camber Table'!Q5</f>
        <v>1.6459999999999999</v>
      </c>
      <c r="R5" s="92">
        <f>'Defl and Camber Table'!R5</f>
        <v>0.87</v>
      </c>
      <c r="S5" s="37">
        <f>'Defl and Camber Table'!S5</f>
        <v>0</v>
      </c>
      <c r="T5" s="37">
        <f>'Defl and Camber Table'!T5</f>
        <v>0</v>
      </c>
      <c r="U5" s="37">
        <f>'Defl and Camber Table'!U5</f>
        <v>2.7000000000000003E-2</v>
      </c>
      <c r="V5" s="37">
        <f>'Defl and Camber Table'!V5</f>
        <v>3.7999999999999999E-2</v>
      </c>
      <c r="W5" s="37">
        <f>'Defl and Camber Table'!W5</f>
        <v>2.75E-2</v>
      </c>
      <c r="X5" s="88">
        <f>'Defl and Camber Table'!X5</f>
        <v>0</v>
      </c>
    </row>
    <row r="6" spans="1:24" ht="39.950000000000003" customHeight="1" x14ac:dyDescent="0.25">
      <c r="A6" s="87" t="s">
        <v>36</v>
      </c>
      <c r="B6" s="37">
        <f>'Defl and Camber Table'!B6</f>
        <v>0</v>
      </c>
      <c r="C6" s="37">
        <f>'Defl and Camber Table'!C6</f>
        <v>0.54263671874923602</v>
      </c>
      <c r="D6" s="95">
        <f>'Defl and Camber Table'!D6</f>
        <v>0.72351562500261934</v>
      </c>
      <c r="E6" s="37">
        <f>'Defl and Camber Table'!E6</f>
        <v>0.54263671875196451</v>
      </c>
      <c r="F6" s="37">
        <f>'Defl and Camber Table'!F6</f>
        <v>0</v>
      </c>
      <c r="G6" s="37">
        <f>'Defl and Camber Table'!G6</f>
        <v>0</v>
      </c>
      <c r="H6" s="37">
        <f>'Defl and Camber Table'!H6</f>
        <v>3.5933625000006941</v>
      </c>
      <c r="I6" s="92">
        <f>'Defl and Camber Table'!I6</f>
        <v>6.3882000000021435</v>
      </c>
      <c r="J6" s="92">
        <f>'Defl and Camber Table'!J6</f>
        <v>8.3845124999988911</v>
      </c>
      <c r="K6" s="92">
        <f>'Defl and Camber Table'!K6</f>
        <v>8.8725000000013097</v>
      </c>
      <c r="L6" s="37">
        <f>'Defl and Camber Table'!L6</f>
        <v>9.5822999999991225</v>
      </c>
      <c r="M6" s="37">
        <f>'Defl and Camber Table'!M6</f>
        <v>9.9815625000001091</v>
      </c>
      <c r="N6" s="37">
        <f>'Defl and Camber Table'!N6</f>
        <v>9.582300000001851</v>
      </c>
      <c r="O6" s="92">
        <f>'Defl and Camber Table'!O6</f>
        <v>8.8725000000013097</v>
      </c>
      <c r="P6" s="92">
        <f>'Defl and Camber Table'!P6</f>
        <v>8.3845125000016196</v>
      </c>
      <c r="Q6" s="92">
        <f>'Defl and Camber Table'!Q6</f>
        <v>6.388199999999415</v>
      </c>
      <c r="R6" s="37">
        <f>'Defl and Camber Table'!R6</f>
        <v>3.5933625000006941</v>
      </c>
      <c r="S6" s="37">
        <f>'Defl and Camber Table'!S6</f>
        <v>0</v>
      </c>
      <c r="T6" s="37">
        <f>'Defl and Camber Table'!T6</f>
        <v>0</v>
      </c>
      <c r="U6" s="37">
        <f>'Defl and Camber Table'!U6</f>
        <v>0.54263671875196451</v>
      </c>
      <c r="V6" s="95">
        <f>'Defl and Camber Table'!V6</f>
        <v>0.72351562500261934</v>
      </c>
      <c r="W6" s="37">
        <f>'Defl and Camber Table'!W6</f>
        <v>0.54263671874923602</v>
      </c>
      <c r="X6" s="88">
        <f>'Defl and Camber Table'!X6</f>
        <v>0</v>
      </c>
    </row>
    <row r="7" spans="1:24" ht="39.950000000000003" customHeight="1" thickBot="1" x14ac:dyDescent="0.3">
      <c r="A7" s="89" t="s">
        <v>25</v>
      </c>
      <c r="B7" s="90">
        <f>'Defl and Camber Table'!B7</f>
        <v>0</v>
      </c>
      <c r="C7" s="90">
        <f>'Defl and Camber Table'!C7</f>
        <v>0.574136718749236</v>
      </c>
      <c r="D7" s="94">
        <f>'Defl and Camber Table'!D7</f>
        <v>0.76751562500261938</v>
      </c>
      <c r="E7" s="90">
        <f>'Defl and Camber Table'!E7</f>
        <v>0.57463671875196454</v>
      </c>
      <c r="F7" s="90">
        <f>'Defl and Camber Table'!F7</f>
        <v>0</v>
      </c>
      <c r="G7" s="90">
        <f>'Defl and Camber Table'!G7</f>
        <v>0</v>
      </c>
      <c r="H7" s="90">
        <f>'Defl and Camber Table'!H7</f>
        <v>4.7813625000006938</v>
      </c>
      <c r="I7" s="93">
        <f>'Defl and Camber Table'!I7</f>
        <v>8.6372000000021423</v>
      </c>
      <c r="J7" s="90">
        <f>'Defl and Camber Table'!J7</f>
        <v>11.462512499998891</v>
      </c>
      <c r="K7" s="93">
        <f>'Defl and Camber Table'!K7</f>
        <v>12.127959183674779</v>
      </c>
      <c r="L7" s="90">
        <f>'Defl and Camber Table'!L7</f>
        <v>13.187299999999123</v>
      </c>
      <c r="M7" s="94">
        <f>'Defl and Camber Table'!M7</f>
        <v>13.767562500000109</v>
      </c>
      <c r="N7" s="90">
        <f>'Defl and Camber Table'!N7</f>
        <v>13.187300000001851</v>
      </c>
      <c r="O7" s="93">
        <f>'Defl and Camber Table'!O7</f>
        <v>12.124355670104404</v>
      </c>
      <c r="P7" s="90">
        <f>'Defl and Camber Table'!P7</f>
        <v>11.462512500001619</v>
      </c>
      <c r="Q7" s="93">
        <f>'Defl and Camber Table'!Q7</f>
        <v>8.6371999999994138</v>
      </c>
      <c r="R7" s="90">
        <f>'Defl and Camber Table'!R7</f>
        <v>4.7823625000006942</v>
      </c>
      <c r="S7" s="90">
        <f>'Defl and Camber Table'!S7</f>
        <v>0</v>
      </c>
      <c r="T7" s="90">
        <f>'Defl and Camber Table'!T7</f>
        <v>0</v>
      </c>
      <c r="U7" s="90">
        <f>'Defl and Camber Table'!U7</f>
        <v>0.57413671875196448</v>
      </c>
      <c r="V7" s="90">
        <f>'Defl and Camber Table'!V7</f>
        <v>0.76751562500261938</v>
      </c>
      <c r="W7" s="90">
        <f>'Defl and Camber Table'!W7</f>
        <v>0.57463671874923605</v>
      </c>
      <c r="X7" s="91">
        <f>'Defl and Camber Table'!X7</f>
        <v>0</v>
      </c>
    </row>
    <row r="8" spans="1:24" ht="41.25" customHeight="1" x14ac:dyDescent="0.25"/>
    <row r="9" spans="1:24" ht="15.75" thickBot="1" x14ac:dyDescent="0.3"/>
    <row r="10" spans="1:24" ht="18" x14ac:dyDescent="0.25">
      <c r="A10" s="118" t="s">
        <v>99</v>
      </c>
      <c r="B10" s="119"/>
      <c r="C10" s="119"/>
      <c r="D10" s="119"/>
      <c r="E10" s="119"/>
      <c r="F10" s="119"/>
      <c r="G10" s="119"/>
      <c r="H10" s="119"/>
      <c r="I10" s="119"/>
      <c r="J10" s="119"/>
      <c r="K10" s="119"/>
      <c r="L10" s="119"/>
      <c r="M10" s="119"/>
      <c r="N10" s="119"/>
      <c r="O10" s="119"/>
      <c r="P10" s="119"/>
      <c r="Q10" s="119"/>
      <c r="R10" s="119"/>
      <c r="S10" s="119"/>
      <c r="T10" s="119"/>
      <c r="U10" s="119"/>
      <c r="V10" s="119"/>
      <c r="W10" s="119"/>
      <c r="X10" s="120"/>
    </row>
    <row r="11" spans="1:24" ht="22.5" customHeight="1" x14ac:dyDescent="0.25">
      <c r="A11" s="117"/>
      <c r="B11" s="114" t="s">
        <v>22</v>
      </c>
      <c r="C11" s="114"/>
      <c r="D11" s="114"/>
      <c r="E11" s="114"/>
      <c r="F11" s="114"/>
      <c r="G11" s="114" t="s">
        <v>58</v>
      </c>
      <c r="H11" s="114"/>
      <c r="I11" s="114"/>
      <c r="J11" s="114"/>
      <c r="K11" s="114"/>
      <c r="L11" s="114"/>
      <c r="M11" s="114"/>
      <c r="N11" s="114"/>
      <c r="O11" s="114"/>
      <c r="P11" s="114"/>
      <c r="Q11" s="114"/>
      <c r="R11" s="114"/>
      <c r="S11" s="114"/>
      <c r="T11" s="114" t="s">
        <v>66</v>
      </c>
      <c r="U11" s="114"/>
      <c r="V11" s="114"/>
      <c r="W11" s="114"/>
      <c r="X11" s="121"/>
    </row>
    <row r="12" spans="1:24" ht="51" x14ac:dyDescent="0.25">
      <c r="A12" s="117"/>
      <c r="B12" s="33" t="s">
        <v>72</v>
      </c>
      <c r="C12" s="34">
        <v>0.25</v>
      </c>
      <c r="D12" s="34">
        <v>0.5</v>
      </c>
      <c r="E12" s="34">
        <v>0.75</v>
      </c>
      <c r="F12" s="33" t="s">
        <v>64</v>
      </c>
      <c r="G12" s="33" t="s">
        <v>65</v>
      </c>
      <c r="H12" s="34">
        <v>0.1</v>
      </c>
      <c r="I12" s="34">
        <v>0.2</v>
      </c>
      <c r="J12" s="34">
        <v>0.3</v>
      </c>
      <c r="K12" s="33" t="s">
        <v>82</v>
      </c>
      <c r="L12" s="34">
        <v>0.4</v>
      </c>
      <c r="M12" s="34">
        <v>0.5</v>
      </c>
      <c r="N12" s="34">
        <v>0.6</v>
      </c>
      <c r="O12" s="33" t="s">
        <v>83</v>
      </c>
      <c r="P12" s="34">
        <v>0.7</v>
      </c>
      <c r="Q12" s="34">
        <v>0.8</v>
      </c>
      <c r="R12" s="34">
        <v>0.9</v>
      </c>
      <c r="S12" s="33" t="s">
        <v>67</v>
      </c>
      <c r="T12" s="33" t="s">
        <v>74</v>
      </c>
      <c r="U12" s="34">
        <v>0.25</v>
      </c>
      <c r="V12" s="34">
        <v>0.5</v>
      </c>
      <c r="W12" s="34">
        <v>0.75</v>
      </c>
      <c r="X12" s="86" t="s">
        <v>73</v>
      </c>
    </row>
    <row r="13" spans="1:24" ht="39.950000000000003" customHeight="1" x14ac:dyDescent="0.25">
      <c r="A13" s="87" t="s">
        <v>34</v>
      </c>
      <c r="B13" s="37">
        <f>'Defl and Camber Table'!B13</f>
        <v>0</v>
      </c>
      <c r="C13" s="37">
        <f>'Defl and Camber Table'!C13</f>
        <v>4.5000000000000005E-3</v>
      </c>
      <c r="D13" s="37">
        <f>'Defl and Camber Table'!D13</f>
        <v>6.0000000000000001E-3</v>
      </c>
      <c r="E13" s="37">
        <f>'Defl and Camber Table'!E13</f>
        <v>4.5000000000000005E-3</v>
      </c>
      <c r="F13" s="37">
        <f>'Defl and Camber Table'!F13</f>
        <v>0</v>
      </c>
      <c r="G13" s="37">
        <f>'Defl and Camber Table'!G13</f>
        <v>0</v>
      </c>
      <c r="H13" s="37">
        <f>'Defl and Camber Table'!H13</f>
        <v>0.31900000000000001</v>
      </c>
      <c r="I13" s="92">
        <f>'Defl and Camber Table'!I13</f>
        <v>0.60299999999999998</v>
      </c>
      <c r="J13" s="37">
        <f>'Defl and Camber Table'!J13</f>
        <v>0.82599999999999996</v>
      </c>
      <c r="K13" s="92">
        <f>'Defl and Camber Table'!K13</f>
        <v>0.87347959183673463</v>
      </c>
      <c r="L13" s="37">
        <f>'Defl and Camber Table'!L13</f>
        <v>0.96699999999999997</v>
      </c>
      <c r="M13" s="37">
        <f>'Defl and Camber Table'!M13</f>
        <v>1.016</v>
      </c>
      <c r="N13" s="37">
        <f>'Defl and Camber Table'!N13</f>
        <v>0.96699999999999997</v>
      </c>
      <c r="O13" s="92">
        <f>'Defl and Camber Table'!O13</f>
        <v>0.87251546391752577</v>
      </c>
      <c r="P13" s="37">
        <f>'Defl and Camber Table'!P13</f>
        <v>0.82599999999999996</v>
      </c>
      <c r="Q13" s="92">
        <f>'Defl and Camber Table'!Q13</f>
        <v>0.60299999999999998</v>
      </c>
      <c r="R13" s="37">
        <f>'Defl and Camber Table'!R13</f>
        <v>0.31900000000000001</v>
      </c>
      <c r="S13" s="37">
        <f>'Defl and Camber Table'!S13</f>
        <v>0</v>
      </c>
      <c r="T13" s="37">
        <f>'Defl and Camber Table'!T13</f>
        <v>0</v>
      </c>
      <c r="U13" s="37">
        <f>'Defl and Camber Table'!U13</f>
        <v>4.5000000000000005E-3</v>
      </c>
      <c r="V13" s="37">
        <f>'Defl and Camber Table'!V13</f>
        <v>6.0000000000000001E-3</v>
      </c>
      <c r="W13" s="37">
        <f>'Defl and Camber Table'!W13</f>
        <v>4.5000000000000005E-3</v>
      </c>
      <c r="X13" s="88">
        <f>'Defl and Camber Table'!X13</f>
        <v>0</v>
      </c>
    </row>
    <row r="14" spans="1:24" ht="39.950000000000003" customHeight="1" x14ac:dyDescent="0.25">
      <c r="A14" s="87" t="s">
        <v>35</v>
      </c>
      <c r="B14" s="37">
        <f>'Defl and Camber Table'!B14</f>
        <v>0</v>
      </c>
      <c r="C14" s="37">
        <f>'Defl and Camber Table'!C14</f>
        <v>2.9499999999999998E-2</v>
      </c>
      <c r="D14" s="37">
        <f>'Defl and Camber Table'!D14</f>
        <v>4.2000000000000003E-2</v>
      </c>
      <c r="E14" s="37">
        <f>'Defl and Camber Table'!E14</f>
        <v>2.9499999999999998E-2</v>
      </c>
      <c r="F14" s="37">
        <f>'Defl and Camber Table'!F14</f>
        <v>0</v>
      </c>
      <c r="G14" s="37">
        <f>'Defl and Camber Table'!G14</f>
        <v>0</v>
      </c>
      <c r="H14" s="37">
        <f>'Defl and Camber Table'!H14</f>
        <v>0.93100000000000005</v>
      </c>
      <c r="I14" s="95">
        <f>'Defl and Camber Table'!I14</f>
        <v>1.7610000000000001</v>
      </c>
      <c r="J14" s="37">
        <f>'Defl and Camber Table'!J14</f>
        <v>2.4119999999999999</v>
      </c>
      <c r="K14" s="37">
        <f>'Defl and Camber Table'!K14</f>
        <v>2.5507346938775513</v>
      </c>
      <c r="L14" s="37">
        <f>'Defl and Camber Table'!L14</f>
        <v>2.8239999999999998</v>
      </c>
      <c r="M14" s="37">
        <f>'Defl and Camber Table'!M14</f>
        <v>2.9659999999999997</v>
      </c>
      <c r="N14" s="37">
        <f>'Defl and Camber Table'!N14</f>
        <v>2.8250000000000002</v>
      </c>
      <c r="O14" s="37">
        <f>'Defl and Camber Table'!O14</f>
        <v>2.5482474226804124</v>
      </c>
      <c r="P14" s="37">
        <f>'Defl and Camber Table'!P14</f>
        <v>2.4119999999999999</v>
      </c>
      <c r="Q14" s="95">
        <f>'Defl and Camber Table'!Q14</f>
        <v>1.7629999999999999</v>
      </c>
      <c r="R14" s="37">
        <f>'Defl and Camber Table'!R14</f>
        <v>0.93200000000000005</v>
      </c>
      <c r="S14" s="37">
        <f>'Defl and Camber Table'!S14</f>
        <v>0</v>
      </c>
      <c r="T14" s="37">
        <f>'Defl and Camber Table'!T14</f>
        <v>0</v>
      </c>
      <c r="U14" s="37">
        <f>'Defl and Camber Table'!U14</f>
        <v>2.9499999999999998E-2</v>
      </c>
      <c r="V14" s="37">
        <f>'Defl and Camber Table'!V14</f>
        <v>4.2000000000000003E-2</v>
      </c>
      <c r="W14" s="37">
        <f>'Defl and Camber Table'!W14</f>
        <v>2.9499999999999998E-2</v>
      </c>
      <c r="X14" s="88">
        <f>'Defl and Camber Table'!X14</f>
        <v>0</v>
      </c>
    </row>
    <row r="15" spans="1:24" ht="39.950000000000003" customHeight="1" x14ac:dyDescent="0.25">
      <c r="A15" s="87" t="s">
        <v>36</v>
      </c>
      <c r="B15" s="37">
        <f>'Defl and Camber Table'!B15</f>
        <v>0</v>
      </c>
      <c r="C15" s="37">
        <f>'Defl and Camber Table'!C15</f>
        <v>0.54263671874923602</v>
      </c>
      <c r="D15" s="95">
        <f>'Defl and Camber Table'!D15</f>
        <v>0.72351562499989086</v>
      </c>
      <c r="E15" s="37">
        <f>'Defl and Camber Table'!E15</f>
        <v>0.54263671875196451</v>
      </c>
      <c r="F15" s="37">
        <f>'Defl and Camber Table'!F15</f>
        <v>0</v>
      </c>
      <c r="G15" s="37">
        <f>'Defl and Camber Table'!G15</f>
        <v>0</v>
      </c>
      <c r="H15" s="37">
        <f>'Defl and Camber Table'!H15</f>
        <v>3.5933625000006941</v>
      </c>
      <c r="I15" s="92">
        <f>'Defl and Camber Table'!I15</f>
        <v>6.3882000000021435</v>
      </c>
      <c r="J15" s="92">
        <f>'Defl and Camber Table'!J15</f>
        <v>8.3845124999988911</v>
      </c>
      <c r="K15" s="92">
        <f>'Defl and Camber Table'!K15</f>
        <v>8.8725000000013097</v>
      </c>
      <c r="L15" s="37">
        <f>'Defl and Camber Table'!L15</f>
        <v>9.5822999999991225</v>
      </c>
      <c r="M15" s="37">
        <f>'Defl and Camber Table'!M15</f>
        <v>9.9815625000001091</v>
      </c>
      <c r="N15" s="37">
        <f>'Defl and Camber Table'!N15</f>
        <v>9.582300000001851</v>
      </c>
      <c r="O15" s="92">
        <f>'Defl and Camber Table'!O15</f>
        <v>8.8725000000013097</v>
      </c>
      <c r="P15" s="92">
        <f>'Defl and Camber Table'!P15</f>
        <v>8.3845125000016196</v>
      </c>
      <c r="Q15" s="92">
        <f>'Defl and Camber Table'!Q15</f>
        <v>6.388199999999415</v>
      </c>
      <c r="R15" s="37">
        <f>'Defl and Camber Table'!R15</f>
        <v>3.5933625000006941</v>
      </c>
      <c r="S15" s="37">
        <f>'Defl and Camber Table'!S15</f>
        <v>0</v>
      </c>
      <c r="T15" s="37">
        <f>'Defl and Camber Table'!T15</f>
        <v>0</v>
      </c>
      <c r="U15" s="37">
        <f>'Defl and Camber Table'!U15</f>
        <v>0.54263671875196451</v>
      </c>
      <c r="V15" s="95">
        <f>'Defl and Camber Table'!V15</f>
        <v>0.72351562499989086</v>
      </c>
      <c r="W15" s="37">
        <f>'Defl and Camber Table'!W15</f>
        <v>0.54263671874923602</v>
      </c>
      <c r="X15" s="88">
        <f>'Defl and Camber Table'!X15</f>
        <v>0</v>
      </c>
    </row>
    <row r="16" spans="1:24" ht="39.950000000000003" customHeight="1" thickBot="1" x14ac:dyDescent="0.3">
      <c r="A16" s="89" t="s">
        <v>25</v>
      </c>
      <c r="B16" s="90">
        <f>'Defl and Camber Table'!B16</f>
        <v>0</v>
      </c>
      <c r="C16" s="90">
        <f>'Defl and Camber Table'!C16</f>
        <v>0.57663671874923605</v>
      </c>
      <c r="D16" s="94">
        <f>'Defl and Camber Table'!D16</f>
        <v>0.7715156249998909</v>
      </c>
      <c r="E16" s="90">
        <f>'Defl and Camber Table'!E16</f>
        <v>0.57663671875196454</v>
      </c>
      <c r="F16" s="90">
        <f>'Defl and Camber Table'!F16</f>
        <v>0</v>
      </c>
      <c r="G16" s="90">
        <f>'Defl and Camber Table'!G16</f>
        <v>0</v>
      </c>
      <c r="H16" s="90">
        <f>'Defl and Camber Table'!H16</f>
        <v>4.8433625000006941</v>
      </c>
      <c r="I16" s="94">
        <f>'Defl and Camber Table'!I16</f>
        <v>8.7522000000021443</v>
      </c>
      <c r="J16" s="93">
        <f>'Defl and Camber Table'!J16</f>
        <v>11.622512499998891</v>
      </c>
      <c r="K16" s="90">
        <f>'Defl and Camber Table'!K16</f>
        <v>12.296714285715595</v>
      </c>
      <c r="L16" s="93">
        <f>'Defl and Camber Table'!L16</f>
        <v>13.373299999999123</v>
      </c>
      <c r="M16" s="90">
        <f>'Defl and Camber Table'!M16</f>
        <v>13.963562500000108</v>
      </c>
      <c r="N16" s="93">
        <f>'Defl and Camber Table'!N16</f>
        <v>13.374300000001851</v>
      </c>
      <c r="O16" s="90">
        <f>'Defl and Camber Table'!O16</f>
        <v>12.293262886599248</v>
      </c>
      <c r="P16" s="93">
        <f>'Defl and Camber Table'!P16</f>
        <v>11.622512500001619</v>
      </c>
      <c r="Q16" s="94">
        <f>'Defl and Camber Table'!Q16</f>
        <v>8.7541999999994147</v>
      </c>
      <c r="R16" s="93">
        <f>'Defl and Camber Table'!R16</f>
        <v>4.8443625000006945</v>
      </c>
      <c r="S16" s="90">
        <f>'Defl and Camber Table'!S16</f>
        <v>0</v>
      </c>
      <c r="T16" s="90">
        <f>'Defl and Camber Table'!T16</f>
        <v>0</v>
      </c>
      <c r="U16" s="90">
        <f>'Defl and Camber Table'!U16</f>
        <v>0.57663671875196454</v>
      </c>
      <c r="V16" s="94">
        <f>'Defl and Camber Table'!V16</f>
        <v>0.7715156249998909</v>
      </c>
      <c r="W16" s="90">
        <f>'Defl and Camber Table'!W16</f>
        <v>0.57663671874923605</v>
      </c>
      <c r="X16" s="91">
        <f>'Defl and Camber Table'!X16</f>
        <v>0</v>
      </c>
    </row>
    <row r="19" spans="2:24" x14ac:dyDescent="0.25">
      <c r="B19" s="81">
        <f t="shared" ref="B19:X19" si="0">B7-B16</f>
        <v>0</v>
      </c>
      <c r="C19" s="81">
        <f t="shared" si="0"/>
        <v>-2.5000000000000577E-3</v>
      </c>
      <c r="D19" s="81">
        <f t="shared" si="0"/>
        <v>-3.9999999972715194E-3</v>
      </c>
      <c r="E19" s="81">
        <f t="shared" si="0"/>
        <v>-2.0000000000000018E-3</v>
      </c>
      <c r="F19" s="81">
        <f t="shared" si="0"/>
        <v>0</v>
      </c>
      <c r="G19" s="81">
        <f t="shared" si="0"/>
        <v>0</v>
      </c>
      <c r="H19" s="81">
        <f t="shared" si="0"/>
        <v>-6.2000000000000277E-2</v>
      </c>
      <c r="I19" s="81">
        <f t="shared" si="0"/>
        <v>-0.11500000000000199</v>
      </c>
      <c r="J19" s="81">
        <f t="shared" si="0"/>
        <v>-0.16000000000000014</v>
      </c>
      <c r="K19" s="81">
        <f t="shared" si="0"/>
        <v>-0.16875510204081579</v>
      </c>
      <c r="L19" s="81">
        <f t="shared" si="0"/>
        <v>-0.18599999999999994</v>
      </c>
      <c r="M19" s="81">
        <f t="shared" si="0"/>
        <v>-0.19599999999999973</v>
      </c>
      <c r="N19" s="81">
        <f t="shared" si="0"/>
        <v>-0.18699999999999939</v>
      </c>
      <c r="O19" s="81">
        <f t="shared" si="0"/>
        <v>-0.16890721649484419</v>
      </c>
      <c r="P19" s="81">
        <f t="shared" si="0"/>
        <v>-0.16000000000000014</v>
      </c>
      <c r="Q19" s="81">
        <f t="shared" si="0"/>
        <v>-0.11700000000000088</v>
      </c>
      <c r="R19" s="81">
        <f t="shared" si="0"/>
        <v>-6.2000000000000277E-2</v>
      </c>
      <c r="S19" s="81">
        <f t="shared" si="0"/>
        <v>0</v>
      </c>
      <c r="T19" s="81">
        <f t="shared" si="0"/>
        <v>0</v>
      </c>
      <c r="U19" s="81">
        <f t="shared" si="0"/>
        <v>-2.5000000000000577E-3</v>
      </c>
      <c r="V19" s="81">
        <f t="shared" si="0"/>
        <v>-3.9999999972715194E-3</v>
      </c>
      <c r="W19" s="81">
        <f t="shared" si="0"/>
        <v>-2.0000000000000018E-3</v>
      </c>
      <c r="X19" s="81">
        <f t="shared" si="0"/>
        <v>0</v>
      </c>
    </row>
  </sheetData>
  <mergeCells count="10">
    <mergeCell ref="A2:A3"/>
    <mergeCell ref="A11:A12"/>
    <mergeCell ref="A1:X1"/>
    <mergeCell ref="B2:F2"/>
    <mergeCell ref="G2:S2"/>
    <mergeCell ref="T2:X2"/>
    <mergeCell ref="A10:X10"/>
    <mergeCell ref="B11:F11"/>
    <mergeCell ref="G11:S11"/>
    <mergeCell ref="T11:X11"/>
  </mergeCells>
  <pageMargins left="0.7" right="0.7" top="0.75" bottom="0.75" header="0.3" footer="0.3"/>
  <pageSetup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D1:N55"/>
  <sheetViews>
    <sheetView topLeftCell="A36" zoomScaleNormal="100" workbookViewId="0">
      <selection activeCell="B17" sqref="B17"/>
    </sheetView>
  </sheetViews>
  <sheetFormatPr defaultColWidth="20.7109375" defaultRowHeight="17.25" customHeight="1" x14ac:dyDescent="0.25"/>
  <cols>
    <col min="1" max="1" width="3.85546875" style="17" customWidth="1"/>
    <col min="2" max="2" width="3.28515625" style="17" customWidth="1"/>
    <col min="3" max="3" width="4.5703125" style="17" customWidth="1"/>
    <col min="4" max="4" width="5.7109375" style="17" customWidth="1"/>
    <col min="5" max="5" width="21.7109375" style="17" customWidth="1"/>
    <col min="6" max="13" width="14.7109375" style="17" customWidth="1"/>
    <col min="14" max="255" width="20.7109375" style="17"/>
    <col min="256" max="256" width="20.85546875" style="17" customWidth="1"/>
    <col min="257" max="265" width="16.42578125" style="17" customWidth="1"/>
    <col min="266" max="511" width="20.7109375" style="17"/>
    <col min="512" max="512" width="20.85546875" style="17" customWidth="1"/>
    <col min="513" max="521" width="16.42578125" style="17" customWidth="1"/>
    <col min="522" max="767" width="20.7109375" style="17"/>
    <col min="768" max="768" width="20.85546875" style="17" customWidth="1"/>
    <col min="769" max="777" width="16.42578125" style="17" customWidth="1"/>
    <col min="778" max="1023" width="20.7109375" style="17"/>
    <col min="1024" max="1024" width="20.85546875" style="17" customWidth="1"/>
    <col min="1025" max="1033" width="16.42578125" style="17" customWidth="1"/>
    <col min="1034" max="1279" width="20.7109375" style="17"/>
    <col min="1280" max="1280" width="20.85546875" style="17" customWidth="1"/>
    <col min="1281" max="1289" width="16.42578125" style="17" customWidth="1"/>
    <col min="1290" max="1535" width="20.7109375" style="17"/>
    <col min="1536" max="1536" width="20.85546875" style="17" customWidth="1"/>
    <col min="1537" max="1545" width="16.42578125" style="17" customWidth="1"/>
    <col min="1546" max="1791" width="20.7109375" style="17"/>
    <col min="1792" max="1792" width="20.85546875" style="17" customWidth="1"/>
    <col min="1793" max="1801" width="16.42578125" style="17" customWidth="1"/>
    <col min="1802" max="2047" width="20.7109375" style="17"/>
    <col min="2048" max="2048" width="20.85546875" style="17" customWidth="1"/>
    <col min="2049" max="2057" width="16.42578125" style="17" customWidth="1"/>
    <col min="2058" max="2303" width="20.7109375" style="17"/>
    <col min="2304" max="2304" width="20.85546875" style="17" customWidth="1"/>
    <col min="2305" max="2313" width="16.42578125" style="17" customWidth="1"/>
    <col min="2314" max="2559" width="20.7109375" style="17"/>
    <col min="2560" max="2560" width="20.85546875" style="17" customWidth="1"/>
    <col min="2561" max="2569" width="16.42578125" style="17" customWidth="1"/>
    <col min="2570" max="2815" width="20.7109375" style="17"/>
    <col min="2816" max="2816" width="20.85546875" style="17" customWidth="1"/>
    <col min="2817" max="2825" width="16.42578125" style="17" customWidth="1"/>
    <col min="2826" max="3071" width="20.7109375" style="17"/>
    <col min="3072" max="3072" width="20.85546875" style="17" customWidth="1"/>
    <col min="3073" max="3081" width="16.42578125" style="17" customWidth="1"/>
    <col min="3082" max="3327" width="20.7109375" style="17"/>
    <col min="3328" max="3328" width="20.85546875" style="17" customWidth="1"/>
    <col min="3329" max="3337" width="16.42578125" style="17" customWidth="1"/>
    <col min="3338" max="3583" width="20.7109375" style="17"/>
    <col min="3584" max="3584" width="20.85546875" style="17" customWidth="1"/>
    <col min="3585" max="3593" width="16.42578125" style="17" customWidth="1"/>
    <col min="3594" max="3839" width="20.7109375" style="17"/>
    <col min="3840" max="3840" width="20.85546875" style="17" customWidth="1"/>
    <col min="3841" max="3849" width="16.42578125" style="17" customWidth="1"/>
    <col min="3850" max="4095" width="20.7109375" style="17"/>
    <col min="4096" max="4096" width="20.85546875" style="17" customWidth="1"/>
    <col min="4097" max="4105" width="16.42578125" style="17" customWidth="1"/>
    <col min="4106" max="4351" width="20.7109375" style="17"/>
    <col min="4352" max="4352" width="20.85546875" style="17" customWidth="1"/>
    <col min="4353" max="4361" width="16.42578125" style="17" customWidth="1"/>
    <col min="4362" max="4607" width="20.7109375" style="17"/>
    <col min="4608" max="4608" width="20.85546875" style="17" customWidth="1"/>
    <col min="4609" max="4617" width="16.42578125" style="17" customWidth="1"/>
    <col min="4618" max="4863" width="20.7109375" style="17"/>
    <col min="4864" max="4864" width="20.85546875" style="17" customWidth="1"/>
    <col min="4865" max="4873" width="16.42578125" style="17" customWidth="1"/>
    <col min="4874" max="5119" width="20.7109375" style="17"/>
    <col min="5120" max="5120" width="20.85546875" style="17" customWidth="1"/>
    <col min="5121" max="5129" width="16.42578125" style="17" customWidth="1"/>
    <col min="5130" max="5375" width="20.7109375" style="17"/>
    <col min="5376" max="5376" width="20.85546875" style="17" customWidth="1"/>
    <col min="5377" max="5385" width="16.42578125" style="17" customWidth="1"/>
    <col min="5386" max="5631" width="20.7109375" style="17"/>
    <col min="5632" max="5632" width="20.85546875" style="17" customWidth="1"/>
    <col min="5633" max="5641" width="16.42578125" style="17" customWidth="1"/>
    <col min="5642" max="5887" width="20.7109375" style="17"/>
    <col min="5888" max="5888" width="20.85546875" style="17" customWidth="1"/>
    <col min="5889" max="5897" width="16.42578125" style="17" customWidth="1"/>
    <col min="5898" max="6143" width="20.7109375" style="17"/>
    <col min="6144" max="6144" width="20.85546875" style="17" customWidth="1"/>
    <col min="6145" max="6153" width="16.42578125" style="17" customWidth="1"/>
    <col min="6154" max="6399" width="20.7109375" style="17"/>
    <col min="6400" max="6400" width="20.85546875" style="17" customWidth="1"/>
    <col min="6401" max="6409" width="16.42578125" style="17" customWidth="1"/>
    <col min="6410" max="6655" width="20.7109375" style="17"/>
    <col min="6656" max="6656" width="20.85546875" style="17" customWidth="1"/>
    <col min="6657" max="6665" width="16.42578125" style="17" customWidth="1"/>
    <col min="6666" max="6911" width="20.7109375" style="17"/>
    <col min="6912" max="6912" width="20.85546875" style="17" customWidth="1"/>
    <col min="6913" max="6921" width="16.42578125" style="17" customWidth="1"/>
    <col min="6922" max="7167" width="20.7109375" style="17"/>
    <col min="7168" max="7168" width="20.85546875" style="17" customWidth="1"/>
    <col min="7169" max="7177" width="16.42578125" style="17" customWidth="1"/>
    <col min="7178" max="7423" width="20.7109375" style="17"/>
    <col min="7424" max="7424" width="20.85546875" style="17" customWidth="1"/>
    <col min="7425" max="7433" width="16.42578125" style="17" customWidth="1"/>
    <col min="7434" max="7679" width="20.7109375" style="17"/>
    <col min="7680" max="7680" width="20.85546875" style="17" customWidth="1"/>
    <col min="7681" max="7689" width="16.42578125" style="17" customWidth="1"/>
    <col min="7690" max="7935" width="20.7109375" style="17"/>
    <col min="7936" max="7936" width="20.85546875" style="17" customWidth="1"/>
    <col min="7937" max="7945" width="16.42578125" style="17" customWidth="1"/>
    <col min="7946" max="8191" width="20.7109375" style="17"/>
    <col min="8192" max="8192" width="20.85546875" style="17" customWidth="1"/>
    <col min="8193" max="8201" width="16.42578125" style="17" customWidth="1"/>
    <col min="8202" max="8447" width="20.7109375" style="17"/>
    <col min="8448" max="8448" width="20.85546875" style="17" customWidth="1"/>
    <col min="8449" max="8457" width="16.42578125" style="17" customWidth="1"/>
    <col min="8458" max="8703" width="20.7109375" style="17"/>
    <col min="8704" max="8704" width="20.85546875" style="17" customWidth="1"/>
    <col min="8705" max="8713" width="16.42578125" style="17" customWidth="1"/>
    <col min="8714" max="8959" width="20.7109375" style="17"/>
    <col min="8960" max="8960" width="20.85546875" style="17" customWidth="1"/>
    <col min="8961" max="8969" width="16.42578125" style="17" customWidth="1"/>
    <col min="8970" max="9215" width="20.7109375" style="17"/>
    <col min="9216" max="9216" width="20.85546875" style="17" customWidth="1"/>
    <col min="9217" max="9225" width="16.42578125" style="17" customWidth="1"/>
    <col min="9226" max="9471" width="20.7109375" style="17"/>
    <col min="9472" max="9472" width="20.85546875" style="17" customWidth="1"/>
    <col min="9473" max="9481" width="16.42578125" style="17" customWidth="1"/>
    <col min="9482" max="9727" width="20.7109375" style="17"/>
    <col min="9728" max="9728" width="20.85546875" style="17" customWidth="1"/>
    <col min="9729" max="9737" width="16.42578125" style="17" customWidth="1"/>
    <col min="9738" max="9983" width="20.7109375" style="17"/>
    <col min="9984" max="9984" width="20.85546875" style="17" customWidth="1"/>
    <col min="9985" max="9993" width="16.42578125" style="17" customWidth="1"/>
    <col min="9994" max="10239" width="20.7109375" style="17"/>
    <col min="10240" max="10240" width="20.85546875" style="17" customWidth="1"/>
    <col min="10241" max="10249" width="16.42578125" style="17" customWidth="1"/>
    <col min="10250" max="10495" width="20.7109375" style="17"/>
    <col min="10496" max="10496" width="20.85546875" style="17" customWidth="1"/>
    <col min="10497" max="10505" width="16.42578125" style="17" customWidth="1"/>
    <col min="10506" max="10751" width="20.7109375" style="17"/>
    <col min="10752" max="10752" width="20.85546875" style="17" customWidth="1"/>
    <col min="10753" max="10761" width="16.42578125" style="17" customWidth="1"/>
    <col min="10762" max="11007" width="20.7109375" style="17"/>
    <col min="11008" max="11008" width="20.85546875" style="17" customWidth="1"/>
    <col min="11009" max="11017" width="16.42578125" style="17" customWidth="1"/>
    <col min="11018" max="11263" width="20.7109375" style="17"/>
    <col min="11264" max="11264" width="20.85546875" style="17" customWidth="1"/>
    <col min="11265" max="11273" width="16.42578125" style="17" customWidth="1"/>
    <col min="11274" max="11519" width="20.7109375" style="17"/>
    <col min="11520" max="11520" width="20.85546875" style="17" customWidth="1"/>
    <col min="11521" max="11529" width="16.42578125" style="17" customWidth="1"/>
    <col min="11530" max="11775" width="20.7109375" style="17"/>
    <col min="11776" max="11776" width="20.85546875" style="17" customWidth="1"/>
    <col min="11777" max="11785" width="16.42578125" style="17" customWidth="1"/>
    <col min="11786" max="12031" width="20.7109375" style="17"/>
    <col min="12032" max="12032" width="20.85546875" style="17" customWidth="1"/>
    <col min="12033" max="12041" width="16.42578125" style="17" customWidth="1"/>
    <col min="12042" max="12287" width="20.7109375" style="17"/>
    <col min="12288" max="12288" width="20.85546875" style="17" customWidth="1"/>
    <col min="12289" max="12297" width="16.42578125" style="17" customWidth="1"/>
    <col min="12298" max="12543" width="20.7109375" style="17"/>
    <col min="12544" max="12544" width="20.85546875" style="17" customWidth="1"/>
    <col min="12545" max="12553" width="16.42578125" style="17" customWidth="1"/>
    <col min="12554" max="12799" width="20.7109375" style="17"/>
    <col min="12800" max="12800" width="20.85546875" style="17" customWidth="1"/>
    <col min="12801" max="12809" width="16.42578125" style="17" customWidth="1"/>
    <col min="12810" max="13055" width="20.7109375" style="17"/>
    <col min="13056" max="13056" width="20.85546875" style="17" customWidth="1"/>
    <col min="13057" max="13065" width="16.42578125" style="17" customWidth="1"/>
    <col min="13066" max="13311" width="20.7109375" style="17"/>
    <col min="13312" max="13312" width="20.85546875" style="17" customWidth="1"/>
    <col min="13313" max="13321" width="16.42578125" style="17" customWidth="1"/>
    <col min="13322" max="13567" width="20.7109375" style="17"/>
    <col min="13568" max="13568" width="20.85546875" style="17" customWidth="1"/>
    <col min="13569" max="13577" width="16.42578125" style="17" customWidth="1"/>
    <col min="13578" max="13823" width="20.7109375" style="17"/>
    <col min="13824" max="13824" width="20.85546875" style="17" customWidth="1"/>
    <col min="13825" max="13833" width="16.42578125" style="17" customWidth="1"/>
    <col min="13834" max="14079" width="20.7109375" style="17"/>
    <col min="14080" max="14080" width="20.85546875" style="17" customWidth="1"/>
    <col min="14081" max="14089" width="16.42578125" style="17" customWidth="1"/>
    <col min="14090" max="14335" width="20.7109375" style="17"/>
    <col min="14336" max="14336" width="20.85546875" style="17" customWidth="1"/>
    <col min="14337" max="14345" width="16.42578125" style="17" customWidth="1"/>
    <col min="14346" max="14591" width="20.7109375" style="17"/>
    <col min="14592" max="14592" width="20.85546875" style="17" customWidth="1"/>
    <col min="14593" max="14601" width="16.42578125" style="17" customWidth="1"/>
    <col min="14602" max="14847" width="20.7109375" style="17"/>
    <col min="14848" max="14848" width="20.85546875" style="17" customWidth="1"/>
    <col min="14849" max="14857" width="16.42578125" style="17" customWidth="1"/>
    <col min="14858" max="15103" width="20.7109375" style="17"/>
    <col min="15104" max="15104" width="20.85546875" style="17" customWidth="1"/>
    <col min="15105" max="15113" width="16.42578125" style="17" customWidth="1"/>
    <col min="15114" max="15359" width="20.7109375" style="17"/>
    <col min="15360" max="15360" width="20.85546875" style="17" customWidth="1"/>
    <col min="15361" max="15369" width="16.42578125" style="17" customWidth="1"/>
    <col min="15370" max="15615" width="20.7109375" style="17"/>
    <col min="15616" max="15616" width="20.85546875" style="17" customWidth="1"/>
    <col min="15617" max="15625" width="16.42578125" style="17" customWidth="1"/>
    <col min="15626" max="15871" width="20.7109375" style="17"/>
    <col min="15872" max="15872" width="20.85546875" style="17" customWidth="1"/>
    <col min="15873" max="15881" width="16.42578125" style="17" customWidth="1"/>
    <col min="15882" max="16127" width="20.7109375" style="17"/>
    <col min="16128" max="16128" width="20.85546875" style="17" customWidth="1"/>
    <col min="16129" max="16137" width="16.42578125" style="17" customWidth="1"/>
    <col min="16138" max="16384" width="20.7109375" style="17"/>
  </cols>
  <sheetData>
    <row r="1" spans="4:14" ht="17.25" customHeight="1" thickBot="1" x14ac:dyDescent="0.3"/>
    <row r="2" spans="4:14" ht="22.5" customHeight="1" thickBot="1" x14ac:dyDescent="0.3">
      <c r="D2" s="137" t="s">
        <v>19</v>
      </c>
      <c r="E2" s="138"/>
      <c r="F2" s="138"/>
      <c r="G2" s="138"/>
      <c r="H2" s="138"/>
      <c r="I2" s="138"/>
      <c r="J2" s="138"/>
      <c r="K2" s="138"/>
      <c r="L2" s="138"/>
      <c r="M2" s="138"/>
      <c r="N2" s="139"/>
    </row>
    <row r="3" spans="4:14" s="19" customFormat="1" ht="57.75" customHeight="1" thickBot="1" x14ac:dyDescent="0.3">
      <c r="D3" s="38"/>
      <c r="E3" s="18" t="s">
        <v>0</v>
      </c>
      <c r="F3" s="39" t="str">
        <f>'Final Deck Calc'!F3</f>
        <v>LEFT EDGE OF DECK</v>
      </c>
      <c r="G3" s="39" t="str">
        <f>'Final Deck Calc'!G3</f>
        <v>CL BEAM 1</v>
      </c>
      <c r="H3" s="39" t="str">
        <f>'Final Deck Calc'!H3</f>
        <v>LEFT TOE OF CURB</v>
      </c>
      <c r="I3" s="39" t="str">
        <f>'Final Deck Calc'!I3</f>
        <v>CL BEAM 2</v>
      </c>
      <c r="J3" s="39" t="str">
        <f>'Final Deck Calc'!J3</f>
        <v>PROFILE GRADE and CL Beam 3</v>
      </c>
      <c r="K3" s="39" t="str">
        <f>'Final Deck Calc'!K3</f>
        <v>CL Beam 4</v>
      </c>
      <c r="L3" s="39" t="str">
        <f>'Final Deck Calc'!L3</f>
        <v>RIGHT TOE OF CURB</v>
      </c>
      <c r="M3" s="39" t="str">
        <f>'Final Deck Calc'!M3</f>
        <v>CL BEAM 5</v>
      </c>
      <c r="N3" s="39" t="str">
        <f>'Final Deck Calc'!N3</f>
        <v>RIGHT EDGE OF DECK</v>
      </c>
    </row>
    <row r="4" spans="4:14" s="19" customFormat="1" ht="12.75" customHeight="1" x14ac:dyDescent="0.25">
      <c r="D4" s="126" t="s">
        <v>22</v>
      </c>
      <c r="E4" s="124" t="s">
        <v>72</v>
      </c>
      <c r="F4" s="40">
        <f>'Final Deck Calc'!F4</f>
        <v>913.54</v>
      </c>
      <c r="G4" s="40">
        <f>'Final Deck Calc'!G4</f>
        <v>913.54</v>
      </c>
      <c r="H4" s="40">
        <f>'Final Deck Calc'!H4</f>
        <v>913.54</v>
      </c>
      <c r="I4" s="40">
        <f>'Final Deck Calc'!I4</f>
        <v>913.54</v>
      </c>
      <c r="J4" s="40">
        <f>'Final Deck Calc'!J4</f>
        <v>913.54</v>
      </c>
      <c r="K4" s="40">
        <f>'Final Deck Calc'!K4</f>
        <v>913.54</v>
      </c>
      <c r="L4" s="40">
        <f>'Final Deck Calc'!L4</f>
        <v>913.54</v>
      </c>
      <c r="M4" s="40">
        <f>'Final Deck Calc'!M4</f>
        <v>913.54</v>
      </c>
      <c r="N4" s="40">
        <f>'Final Deck Calc'!N4</f>
        <v>913.54</v>
      </c>
    </row>
    <row r="5" spans="4:14" s="19" customFormat="1" ht="12.75" customHeight="1" thickBot="1" x14ac:dyDescent="0.3">
      <c r="D5" s="127"/>
      <c r="E5" s="125"/>
      <c r="F5" s="41">
        <f>'Final Deck Calc'!F5</f>
        <v>1048.1633139399999</v>
      </c>
      <c r="G5" s="41">
        <f>'Final Deck Calc'!G5</f>
        <v>1048.1633139399999</v>
      </c>
      <c r="H5" s="41">
        <f>'Final Deck Calc'!H5</f>
        <v>1048.1633139399999</v>
      </c>
      <c r="I5" s="41">
        <f>'Final Deck Calc'!I5</f>
        <v>1048.2273139399999</v>
      </c>
      <c r="J5" s="41">
        <f>'Final Deck Calc'!J5</f>
        <v>1048.3553139399999</v>
      </c>
      <c r="K5" s="41">
        <f>'Final Deck Calc'!K5</f>
        <v>1048.2273139399999</v>
      </c>
      <c r="L5" s="41">
        <f>'Final Deck Calc'!L5</f>
        <v>1048.1633139399999</v>
      </c>
      <c r="M5" s="41">
        <f>'Final Deck Calc'!M5</f>
        <v>1048.1633139399999</v>
      </c>
      <c r="N5" s="41">
        <f>'Final Deck Calc'!N5</f>
        <v>1048.1633139399999</v>
      </c>
    </row>
    <row r="6" spans="4:14" s="19" customFormat="1" ht="12.75" customHeight="1" x14ac:dyDescent="0.25">
      <c r="D6" s="127"/>
      <c r="E6" s="122">
        <v>0.25</v>
      </c>
      <c r="F6" s="40">
        <f>'Final Deck Calc'!F6</f>
        <v>920.10249999999996</v>
      </c>
      <c r="G6" s="40">
        <f>'Final Deck Calc'!G6</f>
        <v>920.10249999999996</v>
      </c>
      <c r="H6" s="40">
        <f>'Final Deck Calc'!H6</f>
        <v>920.10249999999996</v>
      </c>
      <c r="I6" s="40">
        <f>'Final Deck Calc'!I6</f>
        <v>920.10249999999996</v>
      </c>
      <c r="J6" s="40">
        <f>'Final Deck Calc'!J6</f>
        <v>920.10249999999996</v>
      </c>
      <c r="K6" s="40">
        <f>'Final Deck Calc'!K6</f>
        <v>920.10249999999996</v>
      </c>
      <c r="L6" s="40">
        <f>'Final Deck Calc'!L6</f>
        <v>920.10249999999996</v>
      </c>
      <c r="M6" s="40">
        <f>'Final Deck Calc'!M6</f>
        <v>920.10249999999996</v>
      </c>
      <c r="N6" s="40">
        <f>'Final Deck Calc'!N6</f>
        <v>920.10249999999996</v>
      </c>
    </row>
    <row r="7" spans="4:14" s="19" customFormat="1" ht="12.75" customHeight="1" thickBot="1" x14ac:dyDescent="0.3">
      <c r="D7" s="127"/>
      <c r="E7" s="123"/>
      <c r="F7" s="41">
        <f>'Final Deck Calc'!F7</f>
        <v>1048.4929163228123</v>
      </c>
      <c r="G7" s="41">
        <f>'Final Deck Calc'!G7</f>
        <v>1048.4929163228123</v>
      </c>
      <c r="H7" s="41">
        <f>'Final Deck Calc'!H7</f>
        <v>1048.4929163228123</v>
      </c>
      <c r="I7" s="41">
        <f>'Final Deck Calc'!I7</f>
        <v>1048.5569163228124</v>
      </c>
      <c r="J7" s="41">
        <f>'Final Deck Calc'!J7</f>
        <v>1048.6849163228123</v>
      </c>
      <c r="K7" s="41">
        <f>'Final Deck Calc'!K7</f>
        <v>1048.5569163228124</v>
      </c>
      <c r="L7" s="41">
        <f>'Final Deck Calc'!L7</f>
        <v>1048.4929163228123</v>
      </c>
      <c r="M7" s="41">
        <f>'Final Deck Calc'!M7</f>
        <v>1048.4929163228123</v>
      </c>
      <c r="N7" s="41">
        <f>'Final Deck Calc'!N7</f>
        <v>1048.4929163228123</v>
      </c>
    </row>
    <row r="8" spans="4:14" s="19" customFormat="1" ht="12.75" customHeight="1" x14ac:dyDescent="0.25">
      <c r="D8" s="127"/>
      <c r="E8" s="122">
        <v>0.5</v>
      </c>
      <c r="F8" s="40">
        <f>'Final Deck Calc'!F8</f>
        <v>926.66499999999996</v>
      </c>
      <c r="G8" s="40">
        <f>'Final Deck Calc'!G8</f>
        <v>926.66499999999996</v>
      </c>
      <c r="H8" s="40">
        <f>'Final Deck Calc'!H8</f>
        <v>926.66499999999996</v>
      </c>
      <c r="I8" s="40">
        <f>'Final Deck Calc'!I8</f>
        <v>926.66499999999996</v>
      </c>
      <c r="J8" s="40">
        <f>'Final Deck Calc'!J8</f>
        <v>926.66499999999996</v>
      </c>
      <c r="K8" s="40">
        <f>'Final Deck Calc'!K8</f>
        <v>926.66499999999996</v>
      </c>
      <c r="L8" s="40">
        <f>'Final Deck Calc'!L8</f>
        <v>926.66499999999996</v>
      </c>
      <c r="M8" s="40">
        <f>'Final Deck Calc'!M8</f>
        <v>926.66499999999996</v>
      </c>
      <c r="N8" s="40">
        <f>'Final Deck Calc'!N8</f>
        <v>926.66499999999996</v>
      </c>
    </row>
    <row r="9" spans="4:14" s="19" customFormat="1" ht="12.75" customHeight="1" thickBot="1" x14ac:dyDescent="0.3">
      <c r="D9" s="127"/>
      <c r="E9" s="123"/>
      <c r="F9" s="41">
        <f>'Final Deck Calc'!F9</f>
        <v>1048.7923722212499</v>
      </c>
      <c r="G9" s="41">
        <f>'Final Deck Calc'!G9</f>
        <v>1048.7923722212499</v>
      </c>
      <c r="H9" s="41">
        <f>'Final Deck Calc'!H9</f>
        <v>1048.7923722212499</v>
      </c>
      <c r="I9" s="41">
        <f>'Final Deck Calc'!I9</f>
        <v>1048.85637222125</v>
      </c>
      <c r="J9" s="41">
        <f>'Final Deck Calc'!J9</f>
        <v>1048.9843722212499</v>
      </c>
      <c r="K9" s="41">
        <f>'Final Deck Calc'!K9</f>
        <v>1048.85637222125</v>
      </c>
      <c r="L9" s="41">
        <f>'Final Deck Calc'!L9</f>
        <v>1048.7923722212499</v>
      </c>
      <c r="M9" s="41">
        <f>'Final Deck Calc'!M9</f>
        <v>1048.7923722212499</v>
      </c>
      <c r="N9" s="41">
        <f>'Final Deck Calc'!N9</f>
        <v>1048.7923722212499</v>
      </c>
    </row>
    <row r="10" spans="4:14" s="19" customFormat="1" ht="12.75" customHeight="1" x14ac:dyDescent="0.25">
      <c r="D10" s="127"/>
      <c r="E10" s="122">
        <v>0.75</v>
      </c>
      <c r="F10" s="40">
        <f>'Final Deck Calc'!F10</f>
        <v>933.22749999999996</v>
      </c>
      <c r="G10" s="40">
        <f>'Final Deck Calc'!G10</f>
        <v>933.22749999999996</v>
      </c>
      <c r="H10" s="40">
        <f>'Final Deck Calc'!H10</f>
        <v>933.22749999999996</v>
      </c>
      <c r="I10" s="40">
        <f>'Final Deck Calc'!I10</f>
        <v>933.22749999999996</v>
      </c>
      <c r="J10" s="40">
        <f>'Final Deck Calc'!J10</f>
        <v>933.22749999999996</v>
      </c>
      <c r="K10" s="40">
        <f>'Final Deck Calc'!K10</f>
        <v>933.22749999999996</v>
      </c>
      <c r="L10" s="40">
        <f>'Final Deck Calc'!L10</f>
        <v>933.22749999999996</v>
      </c>
      <c r="M10" s="40">
        <f>'Final Deck Calc'!M10</f>
        <v>933.22749999999996</v>
      </c>
      <c r="N10" s="40">
        <f>'Final Deck Calc'!N10</f>
        <v>933.22749999999996</v>
      </c>
    </row>
    <row r="11" spans="4:14" s="19" customFormat="1" ht="12.75" customHeight="1" thickBot="1" x14ac:dyDescent="0.3">
      <c r="D11" s="127"/>
      <c r="E11" s="123"/>
      <c r="F11" s="41">
        <f>'Final Deck Calc'!F11</f>
        <v>1049.0616816353124</v>
      </c>
      <c r="G11" s="41">
        <f>'Final Deck Calc'!G11</f>
        <v>1049.0616816353124</v>
      </c>
      <c r="H11" s="41">
        <f>'Final Deck Calc'!H11</f>
        <v>1049.0616816353124</v>
      </c>
      <c r="I11" s="41">
        <f>'Final Deck Calc'!I11</f>
        <v>1049.1256816353125</v>
      </c>
      <c r="J11" s="41">
        <f>'Final Deck Calc'!J11</f>
        <v>1049.2536816353124</v>
      </c>
      <c r="K11" s="41">
        <f>'Final Deck Calc'!K11</f>
        <v>1049.1256816353125</v>
      </c>
      <c r="L11" s="41">
        <f>'Final Deck Calc'!L11</f>
        <v>1049.0616816353124</v>
      </c>
      <c r="M11" s="41">
        <f>'Final Deck Calc'!M11</f>
        <v>1049.0616816353124</v>
      </c>
      <c r="N11" s="41">
        <f>'Final Deck Calc'!N11</f>
        <v>1049.0616816353124</v>
      </c>
    </row>
    <row r="12" spans="4:14" s="19" customFormat="1" ht="12.75" customHeight="1" x14ac:dyDescent="0.25">
      <c r="D12" s="127"/>
      <c r="E12" s="129" t="s">
        <v>64</v>
      </c>
      <c r="F12" s="40">
        <f>'Final Deck Calc'!F12</f>
        <v>939.79</v>
      </c>
      <c r="G12" s="40">
        <f>'Final Deck Calc'!G12</f>
        <v>939.79</v>
      </c>
      <c r="H12" s="40">
        <f>'Final Deck Calc'!H12</f>
        <v>939.79</v>
      </c>
      <c r="I12" s="40">
        <f>'Final Deck Calc'!I12</f>
        <v>939.79</v>
      </c>
      <c r="J12" s="40">
        <f>'Final Deck Calc'!J12</f>
        <v>939.79</v>
      </c>
      <c r="K12" s="40">
        <f>'Final Deck Calc'!K12</f>
        <v>939.79</v>
      </c>
      <c r="L12" s="40">
        <f>'Final Deck Calc'!L12</f>
        <v>939.79</v>
      </c>
      <c r="M12" s="40">
        <f>'Final Deck Calc'!M12</f>
        <v>939.79</v>
      </c>
      <c r="N12" s="40">
        <f>'Final Deck Calc'!N12</f>
        <v>939.79</v>
      </c>
    </row>
    <row r="13" spans="4:14" s="19" customFormat="1" ht="12.75" customHeight="1" thickBot="1" x14ac:dyDescent="0.3">
      <c r="D13" s="128"/>
      <c r="E13" s="123"/>
      <c r="F13" s="41">
        <f>'Final Deck Calc'!F13</f>
        <v>1049.3008445649998</v>
      </c>
      <c r="G13" s="41">
        <f>'Final Deck Calc'!G13</f>
        <v>1049.3008445649998</v>
      </c>
      <c r="H13" s="41">
        <f>'Final Deck Calc'!H13</f>
        <v>1049.3008445649998</v>
      </c>
      <c r="I13" s="41">
        <f>'Final Deck Calc'!I13</f>
        <v>1049.3648445649999</v>
      </c>
      <c r="J13" s="41">
        <f>'Final Deck Calc'!J13</f>
        <v>1049.4928445649998</v>
      </c>
      <c r="K13" s="41">
        <f>'Final Deck Calc'!K13</f>
        <v>1049.3648445649999</v>
      </c>
      <c r="L13" s="41">
        <f>'Final Deck Calc'!L13</f>
        <v>1049.3008445649998</v>
      </c>
      <c r="M13" s="41">
        <f>'Final Deck Calc'!M13</f>
        <v>1049.3008445649998</v>
      </c>
      <c r="N13" s="41">
        <f>'Final Deck Calc'!N13</f>
        <v>1049.3008445649998</v>
      </c>
    </row>
    <row r="14" spans="4:14" s="21" customFormat="1" ht="12.75" customHeight="1" x14ac:dyDescent="0.25">
      <c r="D14" s="140" t="s">
        <v>58</v>
      </c>
      <c r="E14" s="143" t="s">
        <v>65</v>
      </c>
      <c r="F14" s="40">
        <f>'Final Deck Calc'!F14</f>
        <v>941.29</v>
      </c>
      <c r="G14" s="40">
        <f>'Final Deck Calc'!G14</f>
        <v>941.29</v>
      </c>
      <c r="H14" s="40">
        <f>'Final Deck Calc'!H14</f>
        <v>941.29</v>
      </c>
      <c r="I14" s="40">
        <f>'Final Deck Calc'!I14</f>
        <v>941.29</v>
      </c>
      <c r="J14" s="40">
        <f>'Final Deck Calc'!J14</f>
        <v>941.29</v>
      </c>
      <c r="K14" s="40">
        <f>'Final Deck Calc'!K14</f>
        <v>941.29</v>
      </c>
      <c r="L14" s="40">
        <f>'Final Deck Calc'!L14</f>
        <v>941.29</v>
      </c>
      <c r="M14" s="40">
        <f>'Final Deck Calc'!M14</f>
        <v>941.29</v>
      </c>
      <c r="N14" s="40">
        <f>'Final Deck Calc'!N14</f>
        <v>941.29</v>
      </c>
    </row>
    <row r="15" spans="4:14" s="23" customFormat="1" ht="12.75" customHeight="1" thickBot="1" x14ac:dyDescent="0.25">
      <c r="D15" s="141"/>
      <c r="E15" s="136"/>
      <c r="F15" s="41">
        <f>'Final Deck Calc'!F15</f>
        <v>1049.3512775649999</v>
      </c>
      <c r="G15" s="41">
        <f>'Final Deck Calc'!G15</f>
        <v>1049.3512775649999</v>
      </c>
      <c r="H15" s="41">
        <f>'Final Deck Calc'!H15</f>
        <v>1049.3512775649999</v>
      </c>
      <c r="I15" s="41">
        <f>'Final Deck Calc'!I15</f>
        <v>1049.415277565</v>
      </c>
      <c r="J15" s="41">
        <f>'Final Deck Calc'!J15</f>
        <v>1049.5432775649999</v>
      </c>
      <c r="K15" s="41">
        <f>'Final Deck Calc'!K15</f>
        <v>1049.415277565</v>
      </c>
      <c r="L15" s="41">
        <f>'Final Deck Calc'!L15</f>
        <v>1049.3512775649999</v>
      </c>
      <c r="M15" s="41">
        <f>'Final Deck Calc'!M15</f>
        <v>1049.3512775649999</v>
      </c>
      <c r="N15" s="41">
        <f>'Final Deck Calc'!N15</f>
        <v>1049.3512775649999</v>
      </c>
    </row>
    <row r="16" spans="4:14" s="21" customFormat="1" ht="12.75" customHeight="1" x14ac:dyDescent="0.25">
      <c r="D16" s="141"/>
      <c r="E16" s="135">
        <v>0.1</v>
      </c>
      <c r="F16" s="40">
        <f>'Final Deck Calc'!F16</f>
        <v>951.04</v>
      </c>
      <c r="G16" s="40">
        <f>'Final Deck Calc'!G16</f>
        <v>951.04</v>
      </c>
      <c r="H16" s="40">
        <f>'Final Deck Calc'!H16</f>
        <v>951.04</v>
      </c>
      <c r="I16" s="40">
        <f>'Final Deck Calc'!I16</f>
        <v>951.04</v>
      </c>
      <c r="J16" s="40">
        <f>'Final Deck Calc'!J16</f>
        <v>951.04</v>
      </c>
      <c r="K16" s="40">
        <f>'Final Deck Calc'!K16</f>
        <v>951.04</v>
      </c>
      <c r="L16" s="40">
        <f>'Final Deck Calc'!L16</f>
        <v>951.04</v>
      </c>
      <c r="M16" s="40">
        <f>'Final Deck Calc'!M16</f>
        <v>951.04</v>
      </c>
      <c r="N16" s="40">
        <f>'Final Deck Calc'!N16</f>
        <v>951.04</v>
      </c>
    </row>
    <row r="17" spans="4:14" s="23" customFormat="1" ht="12.75" customHeight="1" thickBot="1" x14ac:dyDescent="0.25">
      <c r="D17" s="141"/>
      <c r="E17" s="136"/>
      <c r="F17" s="41">
        <f>'Final Deck Calc'!F17</f>
        <v>1049.6407014399999</v>
      </c>
      <c r="G17" s="41">
        <f>'Final Deck Calc'!G17</f>
        <v>1049.6407014399999</v>
      </c>
      <c r="H17" s="41">
        <f>'Final Deck Calc'!H17</f>
        <v>1049.6407014399999</v>
      </c>
      <c r="I17" s="41">
        <f>'Final Deck Calc'!I17</f>
        <v>1049.70470144</v>
      </c>
      <c r="J17" s="41">
        <f>'Final Deck Calc'!J17</f>
        <v>1049.8327014399999</v>
      </c>
      <c r="K17" s="41">
        <f>'Final Deck Calc'!K17</f>
        <v>1049.70470144</v>
      </c>
      <c r="L17" s="41">
        <f>'Final Deck Calc'!L17</f>
        <v>1049.6407014399999</v>
      </c>
      <c r="M17" s="41">
        <f>'Final Deck Calc'!M17</f>
        <v>1049.6407014399999</v>
      </c>
      <c r="N17" s="41">
        <f>'Final Deck Calc'!N17</f>
        <v>1049.6407014399999</v>
      </c>
    </row>
    <row r="18" spans="4:14" s="23" customFormat="1" ht="12.75" customHeight="1" x14ac:dyDescent="0.2">
      <c r="D18" s="141"/>
      <c r="E18" s="135">
        <v>0.2</v>
      </c>
      <c r="F18" s="40">
        <f>'Final Deck Calc'!F18</f>
        <v>960.79</v>
      </c>
      <c r="G18" s="40">
        <f>'Final Deck Calc'!G18</f>
        <v>960.79</v>
      </c>
      <c r="H18" s="40">
        <f>'Final Deck Calc'!H18</f>
        <v>960.79</v>
      </c>
      <c r="I18" s="40">
        <f>'Final Deck Calc'!I18</f>
        <v>960.79</v>
      </c>
      <c r="J18" s="40">
        <f>'Final Deck Calc'!J18</f>
        <v>960.79</v>
      </c>
      <c r="K18" s="40">
        <f>'Final Deck Calc'!K18</f>
        <v>960.79</v>
      </c>
      <c r="L18" s="40">
        <f>'Final Deck Calc'!L18</f>
        <v>960.79</v>
      </c>
      <c r="M18" s="40">
        <f>'Final Deck Calc'!M18</f>
        <v>960.79</v>
      </c>
      <c r="N18" s="40">
        <f>'Final Deck Calc'!N18</f>
        <v>960.79</v>
      </c>
    </row>
    <row r="19" spans="4:14" s="23" customFormat="1" ht="12.75" customHeight="1" thickBot="1" x14ac:dyDescent="0.25">
      <c r="D19" s="141"/>
      <c r="E19" s="136"/>
      <c r="F19" s="41">
        <f>'Final Deck Calc'!F19</f>
        <v>1049.863581565</v>
      </c>
      <c r="G19" s="41">
        <f>'Final Deck Calc'!G19</f>
        <v>1049.863581565</v>
      </c>
      <c r="H19" s="41">
        <f>'Final Deck Calc'!H19</f>
        <v>1049.863581565</v>
      </c>
      <c r="I19" s="41">
        <f>'Final Deck Calc'!I19</f>
        <v>1049.9275815650001</v>
      </c>
      <c r="J19" s="41">
        <f>'Final Deck Calc'!J19</f>
        <v>1050.055581565</v>
      </c>
      <c r="K19" s="41">
        <f>'Final Deck Calc'!K19</f>
        <v>1049.9275815650001</v>
      </c>
      <c r="L19" s="41">
        <f>'Final Deck Calc'!L19</f>
        <v>1049.863581565</v>
      </c>
      <c r="M19" s="41">
        <f>'Final Deck Calc'!M19</f>
        <v>1049.863581565</v>
      </c>
      <c r="N19" s="41">
        <f>'Final Deck Calc'!N19</f>
        <v>1049.863581565</v>
      </c>
    </row>
    <row r="20" spans="4:14" s="23" customFormat="1" ht="12.75" customHeight="1" x14ac:dyDescent="0.2">
      <c r="D20" s="141"/>
      <c r="E20" s="135">
        <v>0.3</v>
      </c>
      <c r="F20" s="40">
        <f>'Final Deck Calc'!F20</f>
        <v>970.54</v>
      </c>
      <c r="G20" s="40">
        <f>'Final Deck Calc'!G20</f>
        <v>970.54</v>
      </c>
      <c r="H20" s="40">
        <f>'Final Deck Calc'!H20</f>
        <v>970.54</v>
      </c>
      <c r="I20" s="40">
        <f>'Final Deck Calc'!I20</f>
        <v>970.54</v>
      </c>
      <c r="J20" s="40">
        <f>'Final Deck Calc'!J20</f>
        <v>970.54</v>
      </c>
      <c r="K20" s="40">
        <f>'Final Deck Calc'!K20</f>
        <v>970.54</v>
      </c>
      <c r="L20" s="40">
        <f>'Final Deck Calc'!L20</f>
        <v>970.54</v>
      </c>
      <c r="M20" s="40">
        <f>'Final Deck Calc'!M20</f>
        <v>970.54</v>
      </c>
      <c r="N20" s="40">
        <f>'Final Deck Calc'!N20</f>
        <v>970.54</v>
      </c>
    </row>
    <row r="21" spans="4:14" s="23" customFormat="1" ht="12.75" customHeight="1" thickBot="1" x14ac:dyDescent="0.25">
      <c r="D21" s="141"/>
      <c r="E21" s="136"/>
      <c r="F21" s="41">
        <f>'Final Deck Calc'!F21</f>
        <v>1050.0199179399999</v>
      </c>
      <c r="G21" s="41">
        <f>'Final Deck Calc'!G21</f>
        <v>1050.0199179399999</v>
      </c>
      <c r="H21" s="41">
        <f>'Final Deck Calc'!H21</f>
        <v>1050.0199179399999</v>
      </c>
      <c r="I21" s="41">
        <f>'Final Deck Calc'!I21</f>
        <v>1050.08391794</v>
      </c>
      <c r="J21" s="41">
        <f>'Final Deck Calc'!J21</f>
        <v>1050.2119179399999</v>
      </c>
      <c r="K21" s="41">
        <f>'Final Deck Calc'!K21</f>
        <v>1050.08391794</v>
      </c>
      <c r="L21" s="41">
        <f>'Final Deck Calc'!L21</f>
        <v>1050.0199179399999</v>
      </c>
      <c r="M21" s="41">
        <f>'Final Deck Calc'!M21</f>
        <v>1050.0199179399999</v>
      </c>
      <c r="N21" s="41">
        <f>'Final Deck Calc'!N21</f>
        <v>1050.0199179399999</v>
      </c>
    </row>
    <row r="22" spans="4:14" s="23" customFormat="1" ht="12.75" customHeight="1" x14ac:dyDescent="0.2">
      <c r="D22" s="141"/>
      <c r="E22" s="131" t="s">
        <v>82</v>
      </c>
      <c r="F22" s="40">
        <f>'Final Deck Calc'!F22</f>
        <v>973.79</v>
      </c>
      <c r="G22" s="40">
        <f>'Final Deck Calc'!G22</f>
        <v>973.79</v>
      </c>
      <c r="H22" s="40">
        <f>'Final Deck Calc'!H22</f>
        <v>973.79</v>
      </c>
      <c r="I22" s="40">
        <f>'Final Deck Calc'!I22</f>
        <v>973.79</v>
      </c>
      <c r="J22" s="40">
        <f>'Final Deck Calc'!J22</f>
        <v>973.79</v>
      </c>
      <c r="K22" s="40">
        <f>'Final Deck Calc'!K22</f>
        <v>973.79</v>
      </c>
      <c r="L22" s="40">
        <f>'Final Deck Calc'!L22</f>
        <v>973.79</v>
      </c>
      <c r="M22" s="40">
        <f>'Final Deck Calc'!M22</f>
        <v>973.79</v>
      </c>
      <c r="N22" s="40">
        <f>'Final Deck Calc'!N22</f>
        <v>973.79</v>
      </c>
    </row>
    <row r="23" spans="4:14" s="23" customFormat="1" ht="12.75" customHeight="1" thickBot="1" x14ac:dyDescent="0.25">
      <c r="D23" s="141"/>
      <c r="E23" s="132"/>
      <c r="F23" s="41">
        <f>'Final Deck Calc'!F23</f>
        <v>1050.057242565</v>
      </c>
      <c r="G23" s="41">
        <f>'Final Deck Calc'!G23</f>
        <v>1050.057242565</v>
      </c>
      <c r="H23" s="41">
        <f>'Final Deck Calc'!H23</f>
        <v>1050.057242565</v>
      </c>
      <c r="I23" s="41">
        <f>'Final Deck Calc'!I23</f>
        <v>1050.1212425650001</v>
      </c>
      <c r="J23" s="41">
        <f>'Final Deck Calc'!J23</f>
        <v>1050.249242565</v>
      </c>
      <c r="K23" s="41">
        <f>'Final Deck Calc'!K23</f>
        <v>1050.1212425650001</v>
      </c>
      <c r="L23" s="41">
        <f>'Final Deck Calc'!L23</f>
        <v>1050.057242565</v>
      </c>
      <c r="M23" s="41">
        <f>'Final Deck Calc'!M23</f>
        <v>1050.057242565</v>
      </c>
      <c r="N23" s="41">
        <f>'Final Deck Calc'!N23</f>
        <v>1050.057242565</v>
      </c>
    </row>
    <row r="24" spans="4:14" s="23" customFormat="1" ht="12.75" customHeight="1" x14ac:dyDescent="0.2">
      <c r="D24" s="141"/>
      <c r="E24" s="135">
        <v>0.4</v>
      </c>
      <c r="F24" s="40">
        <f>'Final Deck Calc'!F24</f>
        <v>980.29</v>
      </c>
      <c r="G24" s="40">
        <f>'Final Deck Calc'!G24</f>
        <v>980.29</v>
      </c>
      <c r="H24" s="40">
        <f>'Final Deck Calc'!H24</f>
        <v>980.29</v>
      </c>
      <c r="I24" s="40">
        <f>'Final Deck Calc'!I24</f>
        <v>980.29</v>
      </c>
      <c r="J24" s="40">
        <f>'Final Deck Calc'!J24</f>
        <v>980.29</v>
      </c>
      <c r="K24" s="40">
        <f>'Final Deck Calc'!K24</f>
        <v>980.29</v>
      </c>
      <c r="L24" s="40">
        <f>'Final Deck Calc'!L24</f>
        <v>980.29</v>
      </c>
      <c r="M24" s="40">
        <f>'Final Deck Calc'!M24</f>
        <v>980.29</v>
      </c>
      <c r="N24" s="40">
        <f>'Final Deck Calc'!N24</f>
        <v>980.29</v>
      </c>
    </row>
    <row r="25" spans="4:14" s="23" customFormat="1" ht="12.75" customHeight="1" thickBot="1" x14ac:dyDescent="0.25">
      <c r="D25" s="141"/>
      <c r="E25" s="136"/>
      <c r="F25" s="41">
        <f>'Final Deck Calc'!F25</f>
        <v>1050.1097105649999</v>
      </c>
      <c r="G25" s="41">
        <f>'Final Deck Calc'!G25</f>
        <v>1050.1097105649999</v>
      </c>
      <c r="H25" s="41">
        <f>'Final Deck Calc'!H25</f>
        <v>1050.1097105649999</v>
      </c>
      <c r="I25" s="41">
        <f>'Final Deck Calc'!I25</f>
        <v>1050.173710565</v>
      </c>
      <c r="J25" s="41">
        <f>'Final Deck Calc'!J25</f>
        <v>1050.3017105649999</v>
      </c>
      <c r="K25" s="41">
        <f>'Final Deck Calc'!K25</f>
        <v>1050.173710565</v>
      </c>
      <c r="L25" s="41">
        <f>'Final Deck Calc'!L25</f>
        <v>1050.1097105649999</v>
      </c>
      <c r="M25" s="41">
        <f>'Final Deck Calc'!M25</f>
        <v>1050.1097105649999</v>
      </c>
      <c r="N25" s="41">
        <f>'Final Deck Calc'!N25</f>
        <v>1050.1097105649999</v>
      </c>
    </row>
    <row r="26" spans="4:14" s="23" customFormat="1" ht="12.75" customHeight="1" x14ac:dyDescent="0.2">
      <c r="D26" s="141"/>
      <c r="E26" s="135">
        <v>0.5</v>
      </c>
      <c r="F26" s="40">
        <f>'Final Deck Calc'!F26</f>
        <v>990.04</v>
      </c>
      <c r="G26" s="40">
        <f>'Final Deck Calc'!G26</f>
        <v>990.04</v>
      </c>
      <c r="H26" s="40">
        <f>'Final Deck Calc'!H26</f>
        <v>990.04</v>
      </c>
      <c r="I26" s="40">
        <f>'Final Deck Calc'!I26</f>
        <v>990.04</v>
      </c>
      <c r="J26" s="40">
        <f>'Final Deck Calc'!J26</f>
        <v>990.04</v>
      </c>
      <c r="K26" s="40">
        <f>'Final Deck Calc'!K26</f>
        <v>990.04</v>
      </c>
      <c r="L26" s="40">
        <f>'Final Deck Calc'!L26</f>
        <v>990.04</v>
      </c>
      <c r="M26" s="40">
        <f>'Final Deck Calc'!M26</f>
        <v>990.04</v>
      </c>
      <c r="N26" s="40">
        <f>'Final Deck Calc'!N26</f>
        <v>990.04</v>
      </c>
    </row>
    <row r="27" spans="4:14" s="23" customFormat="1" ht="12.75" customHeight="1" thickBot="1" x14ac:dyDescent="0.25">
      <c r="D27" s="141"/>
      <c r="E27" s="136"/>
      <c r="F27" s="41">
        <f>'Final Deck Calc'!F27</f>
        <v>1050.1329594399999</v>
      </c>
      <c r="G27" s="41">
        <f>'Final Deck Calc'!G27</f>
        <v>1050.1329594399999</v>
      </c>
      <c r="H27" s="41">
        <f>'Final Deck Calc'!H27</f>
        <v>1050.1329594399999</v>
      </c>
      <c r="I27" s="41">
        <f>'Final Deck Calc'!I27</f>
        <v>1050.19695944</v>
      </c>
      <c r="J27" s="41">
        <f>'Final Deck Calc'!J27</f>
        <v>1050.3249594399999</v>
      </c>
      <c r="K27" s="41">
        <f>'Final Deck Calc'!K27</f>
        <v>1050.19695944</v>
      </c>
      <c r="L27" s="41">
        <f>'Final Deck Calc'!L27</f>
        <v>1050.1329594399999</v>
      </c>
      <c r="M27" s="41">
        <f>'Final Deck Calc'!M27</f>
        <v>1050.1329594399999</v>
      </c>
      <c r="N27" s="41">
        <f>'Final Deck Calc'!N27</f>
        <v>1050.1329594399999</v>
      </c>
    </row>
    <row r="28" spans="4:14" s="23" customFormat="1" ht="12.75" customHeight="1" x14ac:dyDescent="0.2">
      <c r="D28" s="141"/>
      <c r="E28" s="135">
        <v>0.6</v>
      </c>
      <c r="F28" s="40">
        <f>'Final Deck Calc'!F28</f>
        <v>999.79</v>
      </c>
      <c r="G28" s="40">
        <f>'Final Deck Calc'!G28</f>
        <v>999.79</v>
      </c>
      <c r="H28" s="40">
        <f>'Final Deck Calc'!H28</f>
        <v>999.79</v>
      </c>
      <c r="I28" s="40">
        <f>'Final Deck Calc'!I28</f>
        <v>999.79</v>
      </c>
      <c r="J28" s="40">
        <f>'Final Deck Calc'!J28</f>
        <v>999.79</v>
      </c>
      <c r="K28" s="40">
        <f>'Final Deck Calc'!K28</f>
        <v>999.79</v>
      </c>
      <c r="L28" s="40">
        <f>'Final Deck Calc'!L28</f>
        <v>999.79</v>
      </c>
      <c r="M28" s="40">
        <f>'Final Deck Calc'!M28</f>
        <v>999.79</v>
      </c>
      <c r="N28" s="40">
        <f>'Final Deck Calc'!N28</f>
        <v>999.79</v>
      </c>
    </row>
    <row r="29" spans="4:14" s="23" customFormat="1" ht="12.75" customHeight="1" thickBot="1" x14ac:dyDescent="0.25">
      <c r="D29" s="141"/>
      <c r="E29" s="136"/>
      <c r="F29" s="41">
        <f>'Final Deck Calc'!F29</f>
        <v>1050.089664565</v>
      </c>
      <c r="G29" s="41">
        <f>'Final Deck Calc'!G29</f>
        <v>1050.089664565</v>
      </c>
      <c r="H29" s="41">
        <f>'Final Deck Calc'!H29</f>
        <v>1050.089664565</v>
      </c>
      <c r="I29" s="41">
        <f>'Final Deck Calc'!I29</f>
        <v>1050.1536645650001</v>
      </c>
      <c r="J29" s="41">
        <f>'Final Deck Calc'!J29</f>
        <v>1050.281664565</v>
      </c>
      <c r="K29" s="41">
        <f>'Final Deck Calc'!K29</f>
        <v>1050.1536645650001</v>
      </c>
      <c r="L29" s="41">
        <f>'Final Deck Calc'!L29</f>
        <v>1050.089664565</v>
      </c>
      <c r="M29" s="41">
        <f>'Final Deck Calc'!M29</f>
        <v>1050.089664565</v>
      </c>
      <c r="N29" s="41">
        <f>'Final Deck Calc'!N29</f>
        <v>1050.089664565</v>
      </c>
    </row>
    <row r="30" spans="4:14" s="23" customFormat="1" ht="12.75" customHeight="1" x14ac:dyDescent="0.2">
      <c r="D30" s="141"/>
      <c r="E30" s="132" t="s">
        <v>83</v>
      </c>
      <c r="F30" s="40">
        <f>'Final Deck Calc'!F30</f>
        <v>1006.29</v>
      </c>
      <c r="G30" s="40">
        <f>'Final Deck Calc'!G30</f>
        <v>1006.29</v>
      </c>
      <c r="H30" s="40">
        <f>'Final Deck Calc'!H30</f>
        <v>1006.29</v>
      </c>
      <c r="I30" s="40">
        <f>'Final Deck Calc'!I30</f>
        <v>1006.29</v>
      </c>
      <c r="J30" s="40">
        <f>'Final Deck Calc'!J30</f>
        <v>1006.29</v>
      </c>
      <c r="K30" s="40">
        <f>'Final Deck Calc'!K30</f>
        <v>1006.29</v>
      </c>
      <c r="L30" s="40">
        <f>'Final Deck Calc'!L30</f>
        <v>1006.29</v>
      </c>
      <c r="M30" s="40">
        <f>'Final Deck Calc'!M30</f>
        <v>1006.29</v>
      </c>
      <c r="N30" s="40">
        <f>'Final Deck Calc'!N30</f>
        <v>1006.29</v>
      </c>
    </row>
    <row r="31" spans="4:14" s="23" customFormat="1" ht="12.75" customHeight="1" thickBot="1" x14ac:dyDescent="0.25">
      <c r="D31" s="141"/>
      <c r="E31" s="133"/>
      <c r="F31" s="41">
        <f>'Final Deck Calc'!F31</f>
        <v>1050.023832565</v>
      </c>
      <c r="G31" s="41">
        <f>'Final Deck Calc'!G31</f>
        <v>1050.023832565</v>
      </c>
      <c r="H31" s="41">
        <f>'Final Deck Calc'!H31</f>
        <v>1050.023832565</v>
      </c>
      <c r="I31" s="41">
        <f>'Final Deck Calc'!I31</f>
        <v>1050.0878325650001</v>
      </c>
      <c r="J31" s="41">
        <f>'Final Deck Calc'!J31</f>
        <v>1050.215832565</v>
      </c>
      <c r="K31" s="41">
        <f>'Final Deck Calc'!K31</f>
        <v>1050.0878325650001</v>
      </c>
      <c r="L31" s="41">
        <f>'Final Deck Calc'!L31</f>
        <v>1050.023832565</v>
      </c>
      <c r="M31" s="41">
        <f>'Final Deck Calc'!M31</f>
        <v>1050.023832565</v>
      </c>
      <c r="N31" s="41">
        <f>'Final Deck Calc'!N31</f>
        <v>1050.023832565</v>
      </c>
    </row>
    <row r="32" spans="4:14" s="21" customFormat="1" ht="12.75" customHeight="1" x14ac:dyDescent="0.25">
      <c r="D32" s="141"/>
      <c r="E32" s="135">
        <v>0.7</v>
      </c>
      <c r="F32" s="40">
        <f>'Final Deck Calc'!F32</f>
        <v>1009.54</v>
      </c>
      <c r="G32" s="40">
        <f>'Final Deck Calc'!G32</f>
        <v>1009.54</v>
      </c>
      <c r="H32" s="40">
        <f>'Final Deck Calc'!H32</f>
        <v>1009.54</v>
      </c>
      <c r="I32" s="40">
        <f>'Final Deck Calc'!I32</f>
        <v>1009.54</v>
      </c>
      <c r="J32" s="40">
        <f>'Final Deck Calc'!J32</f>
        <v>1009.54</v>
      </c>
      <c r="K32" s="40">
        <f>'Final Deck Calc'!K32</f>
        <v>1009.54</v>
      </c>
      <c r="L32" s="40">
        <f>'Final Deck Calc'!L32</f>
        <v>1009.54</v>
      </c>
      <c r="M32" s="40">
        <f>'Final Deck Calc'!M32</f>
        <v>1009.54</v>
      </c>
      <c r="N32" s="40">
        <f>'Final Deck Calc'!N32</f>
        <v>1009.54</v>
      </c>
    </row>
    <row r="33" spans="4:14" s="23" customFormat="1" ht="12.75" customHeight="1" thickBot="1" x14ac:dyDescent="0.25">
      <c r="D33" s="141"/>
      <c r="E33" s="136"/>
      <c r="F33" s="41">
        <f>'Final Deck Calc'!F33</f>
        <v>1049.97982594</v>
      </c>
      <c r="G33" s="41">
        <f>'Final Deck Calc'!G33</f>
        <v>1049.97982594</v>
      </c>
      <c r="H33" s="41">
        <f>'Final Deck Calc'!H33</f>
        <v>1049.97982594</v>
      </c>
      <c r="I33" s="41">
        <f>'Final Deck Calc'!I33</f>
        <v>1050.04382594</v>
      </c>
      <c r="J33" s="41">
        <f>'Final Deck Calc'!J33</f>
        <v>1050.17182594</v>
      </c>
      <c r="K33" s="41">
        <f>'Final Deck Calc'!K33</f>
        <v>1050.04382594</v>
      </c>
      <c r="L33" s="41">
        <f>'Final Deck Calc'!L33</f>
        <v>1049.97982594</v>
      </c>
      <c r="M33" s="41">
        <f>'Final Deck Calc'!M33</f>
        <v>1049.97982594</v>
      </c>
      <c r="N33" s="41">
        <f>'Final Deck Calc'!N33</f>
        <v>1049.97982594</v>
      </c>
    </row>
    <row r="34" spans="4:14" s="21" customFormat="1" ht="12.75" customHeight="1" x14ac:dyDescent="0.25">
      <c r="D34" s="141"/>
      <c r="E34" s="135">
        <v>0.8</v>
      </c>
      <c r="F34" s="40">
        <f>'Final Deck Calc'!F34</f>
        <v>1019.29</v>
      </c>
      <c r="G34" s="40">
        <f>'Final Deck Calc'!G34</f>
        <v>1019.29</v>
      </c>
      <c r="H34" s="40">
        <f>'Final Deck Calc'!H34</f>
        <v>1019.29</v>
      </c>
      <c r="I34" s="40">
        <f>'Final Deck Calc'!I34</f>
        <v>1019.29</v>
      </c>
      <c r="J34" s="40">
        <f>'Final Deck Calc'!J34</f>
        <v>1019.29</v>
      </c>
      <c r="K34" s="40">
        <f>'Final Deck Calc'!K34</f>
        <v>1019.29</v>
      </c>
      <c r="L34" s="40">
        <f>'Final Deck Calc'!L34</f>
        <v>1019.29</v>
      </c>
      <c r="M34" s="40">
        <f>'Final Deck Calc'!M34</f>
        <v>1019.29</v>
      </c>
      <c r="N34" s="40">
        <f>'Final Deck Calc'!N34</f>
        <v>1019.29</v>
      </c>
    </row>
    <row r="35" spans="4:14" s="23" customFormat="1" ht="12.75" customHeight="1" thickBot="1" x14ac:dyDescent="0.25">
      <c r="D35" s="141"/>
      <c r="E35" s="136"/>
      <c r="F35" s="41">
        <f>'Final Deck Calc'!F35</f>
        <v>1049.803443565</v>
      </c>
      <c r="G35" s="41">
        <f>'Final Deck Calc'!G35</f>
        <v>1049.803443565</v>
      </c>
      <c r="H35" s="41">
        <f>'Final Deck Calc'!H35</f>
        <v>1049.803443565</v>
      </c>
      <c r="I35" s="41">
        <f>'Final Deck Calc'!I35</f>
        <v>1049.867443565</v>
      </c>
      <c r="J35" s="41">
        <f>'Final Deck Calc'!J35</f>
        <v>1049.995443565</v>
      </c>
      <c r="K35" s="41">
        <f>'Final Deck Calc'!K35</f>
        <v>1049.867443565</v>
      </c>
      <c r="L35" s="41">
        <f>'Final Deck Calc'!L35</f>
        <v>1049.803443565</v>
      </c>
      <c r="M35" s="41">
        <f>'Final Deck Calc'!M35</f>
        <v>1049.803443565</v>
      </c>
      <c r="N35" s="41">
        <f>'Final Deck Calc'!N35</f>
        <v>1049.803443565</v>
      </c>
    </row>
    <row r="36" spans="4:14" s="23" customFormat="1" ht="12.75" customHeight="1" x14ac:dyDescent="0.2">
      <c r="D36" s="141"/>
      <c r="E36" s="135">
        <v>0.9</v>
      </c>
      <c r="F36" s="40">
        <f>'Final Deck Calc'!F36</f>
        <v>1029.04</v>
      </c>
      <c r="G36" s="40">
        <f>'Final Deck Calc'!G36</f>
        <v>1029.04</v>
      </c>
      <c r="H36" s="40">
        <f>'Final Deck Calc'!H36</f>
        <v>1029.04</v>
      </c>
      <c r="I36" s="40">
        <f>'Final Deck Calc'!I36</f>
        <v>1029.04</v>
      </c>
      <c r="J36" s="40">
        <f>'Final Deck Calc'!J36</f>
        <v>1029.04</v>
      </c>
      <c r="K36" s="40">
        <f>'Final Deck Calc'!K36</f>
        <v>1029.04</v>
      </c>
      <c r="L36" s="40">
        <f>'Final Deck Calc'!L36</f>
        <v>1029.04</v>
      </c>
      <c r="M36" s="40">
        <f>'Final Deck Calc'!M36</f>
        <v>1029.04</v>
      </c>
      <c r="N36" s="40">
        <f>'Final Deck Calc'!N36</f>
        <v>1029.04</v>
      </c>
    </row>
    <row r="37" spans="4:14" s="23" customFormat="1" ht="12.75" customHeight="1" thickBot="1" x14ac:dyDescent="0.25">
      <c r="D37" s="141"/>
      <c r="E37" s="136"/>
      <c r="F37" s="41">
        <f>'Final Deck Calc'!F37</f>
        <v>1049.56051744</v>
      </c>
      <c r="G37" s="41">
        <f>'Final Deck Calc'!G37</f>
        <v>1049.56051744</v>
      </c>
      <c r="H37" s="41">
        <f>'Final Deck Calc'!H37</f>
        <v>1049.56051744</v>
      </c>
      <c r="I37" s="41">
        <f>'Final Deck Calc'!I37</f>
        <v>1049.6245174400001</v>
      </c>
      <c r="J37" s="41">
        <f>'Final Deck Calc'!J37</f>
        <v>1049.75251744</v>
      </c>
      <c r="K37" s="41">
        <f>'Final Deck Calc'!K37</f>
        <v>1049.6245174400001</v>
      </c>
      <c r="L37" s="41">
        <f>'Final Deck Calc'!L37</f>
        <v>1049.56051744</v>
      </c>
      <c r="M37" s="41">
        <f>'Final Deck Calc'!M37</f>
        <v>1049.56051744</v>
      </c>
      <c r="N37" s="41">
        <f>'Final Deck Calc'!N37</f>
        <v>1049.56051744</v>
      </c>
    </row>
    <row r="38" spans="4:14" ht="12.75" customHeight="1" x14ac:dyDescent="0.25">
      <c r="D38" s="141"/>
      <c r="E38" s="143" t="s">
        <v>67</v>
      </c>
      <c r="F38" s="40">
        <f>'Final Deck Calc'!F38</f>
        <v>1038.79</v>
      </c>
      <c r="G38" s="40">
        <f>'Final Deck Calc'!G38</f>
        <v>1038.79</v>
      </c>
      <c r="H38" s="40">
        <f>'Final Deck Calc'!H38</f>
        <v>1038.79</v>
      </c>
      <c r="I38" s="40">
        <f>'Final Deck Calc'!I38</f>
        <v>1038.79</v>
      </c>
      <c r="J38" s="40">
        <f>'Final Deck Calc'!J38</f>
        <v>1038.79</v>
      </c>
      <c r="K38" s="40">
        <f>'Final Deck Calc'!K38</f>
        <v>1038.79</v>
      </c>
      <c r="L38" s="40">
        <f>'Final Deck Calc'!L38</f>
        <v>1038.79</v>
      </c>
      <c r="M38" s="40">
        <f>'Final Deck Calc'!M38</f>
        <v>1038.79</v>
      </c>
      <c r="N38" s="40">
        <f>'Final Deck Calc'!N38</f>
        <v>1038.79</v>
      </c>
    </row>
    <row r="39" spans="4:14" ht="12.75" customHeight="1" thickBot="1" x14ac:dyDescent="0.3">
      <c r="D39" s="142"/>
      <c r="E39" s="136"/>
      <c r="F39" s="41">
        <f>'Final Deck Calc'!F39</f>
        <v>1049.2510475649999</v>
      </c>
      <c r="G39" s="41">
        <f>'Final Deck Calc'!G39</f>
        <v>1049.2510475649999</v>
      </c>
      <c r="H39" s="41">
        <f>'Final Deck Calc'!H39</f>
        <v>1049.2510475649999</v>
      </c>
      <c r="I39" s="41">
        <f>'Final Deck Calc'!I39</f>
        <v>1049.315047565</v>
      </c>
      <c r="J39" s="41">
        <f>'Final Deck Calc'!J39</f>
        <v>1049.4430475649999</v>
      </c>
      <c r="K39" s="41">
        <f>'Final Deck Calc'!K39</f>
        <v>1049.315047565</v>
      </c>
      <c r="L39" s="41">
        <f>'Final Deck Calc'!L39</f>
        <v>1049.2510475649999</v>
      </c>
      <c r="M39" s="41">
        <f>'Final Deck Calc'!M39</f>
        <v>1049.2510475649999</v>
      </c>
      <c r="N39" s="41">
        <f>'Final Deck Calc'!N39</f>
        <v>1049.2510475649999</v>
      </c>
    </row>
    <row r="40" spans="4:14" ht="12.75" customHeight="1" x14ac:dyDescent="0.25">
      <c r="D40" s="126" t="s">
        <v>66</v>
      </c>
      <c r="E40" s="129" t="s">
        <v>74</v>
      </c>
      <c r="F40" s="40">
        <f>'Final Deck Calc'!F40</f>
        <v>1040.29</v>
      </c>
      <c r="G40" s="40">
        <f>'Final Deck Calc'!G40</f>
        <v>1040.29</v>
      </c>
      <c r="H40" s="40">
        <f>'Final Deck Calc'!H40</f>
        <v>1040.29</v>
      </c>
      <c r="I40" s="40">
        <f>'Final Deck Calc'!I40</f>
        <v>1040.29</v>
      </c>
      <c r="J40" s="40">
        <f>'Final Deck Calc'!J40</f>
        <v>1040.29</v>
      </c>
      <c r="K40" s="40">
        <f>'Final Deck Calc'!K40</f>
        <v>1040.29</v>
      </c>
      <c r="L40" s="40">
        <f>'Final Deck Calc'!L40</f>
        <v>1040.29</v>
      </c>
      <c r="M40" s="40">
        <f>'Final Deck Calc'!M40</f>
        <v>1040.29</v>
      </c>
      <c r="N40" s="40">
        <f>'Final Deck Calc'!N40</f>
        <v>1040.29</v>
      </c>
    </row>
    <row r="41" spans="4:14" ht="12.75" customHeight="1" thickBot="1" x14ac:dyDescent="0.3">
      <c r="D41" s="127"/>
      <c r="E41" s="123"/>
      <c r="F41" s="41">
        <f>'Final Deck Calc'!F41</f>
        <v>1049.1975305649999</v>
      </c>
      <c r="G41" s="41">
        <f>'Final Deck Calc'!G41</f>
        <v>1049.1975305649999</v>
      </c>
      <c r="H41" s="41">
        <f>'Final Deck Calc'!H41</f>
        <v>1049.1975305649999</v>
      </c>
      <c r="I41" s="41">
        <f>'Final Deck Calc'!I41</f>
        <v>1049.2615305649999</v>
      </c>
      <c r="J41" s="41">
        <f>'Final Deck Calc'!J41</f>
        <v>1049.3895305649999</v>
      </c>
      <c r="K41" s="41">
        <f>'Final Deck Calc'!K41</f>
        <v>1049.2615305649999</v>
      </c>
      <c r="L41" s="41">
        <f>'Final Deck Calc'!L41</f>
        <v>1049.1975305649999</v>
      </c>
      <c r="M41" s="41">
        <f>'Final Deck Calc'!M41</f>
        <v>1049.1975305649999</v>
      </c>
      <c r="N41" s="41">
        <f>'Final Deck Calc'!N41</f>
        <v>1049.1975305649999</v>
      </c>
    </row>
    <row r="42" spans="4:14" ht="12.75" customHeight="1" x14ac:dyDescent="0.25">
      <c r="D42" s="127"/>
      <c r="E42" s="122">
        <v>0.25</v>
      </c>
      <c r="F42" s="40">
        <f>'Final Deck Calc'!F42</f>
        <v>1046.8525</v>
      </c>
      <c r="G42" s="40">
        <f>'Final Deck Calc'!G42</f>
        <v>1046.8525</v>
      </c>
      <c r="H42" s="40">
        <f>'Final Deck Calc'!H42</f>
        <v>1046.8525</v>
      </c>
      <c r="I42" s="40">
        <f>'Final Deck Calc'!I42</f>
        <v>1046.8525</v>
      </c>
      <c r="J42" s="40">
        <f>'Final Deck Calc'!J42</f>
        <v>1046.8525</v>
      </c>
      <c r="K42" s="40">
        <f>'Final Deck Calc'!K42</f>
        <v>1046.8525</v>
      </c>
      <c r="L42" s="40">
        <f>'Final Deck Calc'!L42</f>
        <v>1046.8525</v>
      </c>
      <c r="M42" s="40">
        <f>'Final Deck Calc'!M42</f>
        <v>1046.8525</v>
      </c>
      <c r="N42" s="40">
        <f>'Final Deck Calc'!N42</f>
        <v>1046.8525</v>
      </c>
    </row>
    <row r="43" spans="4:14" ht="12.75" customHeight="1" thickBot="1" x14ac:dyDescent="0.3">
      <c r="D43" s="127"/>
      <c r="E43" s="123"/>
      <c r="F43" s="41">
        <f>'Final Deck Calc'!F43</f>
        <v>1048.9448751353125</v>
      </c>
      <c r="G43" s="41">
        <f>'Final Deck Calc'!G43</f>
        <v>1048.9448751353125</v>
      </c>
      <c r="H43" s="41">
        <f>'Final Deck Calc'!H43</f>
        <v>1048.9448751353125</v>
      </c>
      <c r="I43" s="41">
        <f>'Final Deck Calc'!I43</f>
        <v>1049.0088751353126</v>
      </c>
      <c r="J43" s="41">
        <f>'Final Deck Calc'!J43</f>
        <v>1049.1368751353125</v>
      </c>
      <c r="K43" s="41">
        <f>'Final Deck Calc'!K43</f>
        <v>1049.0088751353126</v>
      </c>
      <c r="L43" s="41">
        <f>'Final Deck Calc'!L43</f>
        <v>1048.9448751353125</v>
      </c>
      <c r="M43" s="41">
        <f>'Final Deck Calc'!M43</f>
        <v>1048.9448751353125</v>
      </c>
      <c r="N43" s="41">
        <f>'Final Deck Calc'!N43</f>
        <v>1048.9448751353125</v>
      </c>
    </row>
    <row r="44" spans="4:14" ht="12.75" customHeight="1" x14ac:dyDescent="0.25">
      <c r="D44" s="127"/>
      <c r="E44" s="122">
        <v>0.5</v>
      </c>
      <c r="F44" s="40">
        <f>'Final Deck Calc'!F44</f>
        <v>1053.415</v>
      </c>
      <c r="G44" s="40">
        <f>'Final Deck Calc'!G44</f>
        <v>1053.415</v>
      </c>
      <c r="H44" s="40">
        <f>'Final Deck Calc'!H44</f>
        <v>1053.415</v>
      </c>
      <c r="I44" s="40">
        <f>'Final Deck Calc'!I44</f>
        <v>1053.415</v>
      </c>
      <c r="J44" s="40">
        <f>'Final Deck Calc'!J44</f>
        <v>1053.415</v>
      </c>
      <c r="K44" s="40">
        <f>'Final Deck Calc'!K44</f>
        <v>1053.415</v>
      </c>
      <c r="L44" s="40">
        <f>'Final Deck Calc'!L44</f>
        <v>1053.415</v>
      </c>
      <c r="M44" s="40">
        <f>'Final Deck Calc'!M44</f>
        <v>1053.415</v>
      </c>
      <c r="N44" s="40">
        <f>'Final Deck Calc'!N44</f>
        <v>1053.415</v>
      </c>
    </row>
    <row r="45" spans="4:14" ht="12.75" customHeight="1" thickBot="1" x14ac:dyDescent="0.3">
      <c r="D45" s="127"/>
      <c r="E45" s="123"/>
      <c r="F45" s="41">
        <f>'Final Deck Calc'!F45</f>
        <v>1048.66207322125</v>
      </c>
      <c r="G45" s="41">
        <f>'Final Deck Calc'!G45</f>
        <v>1048.66207322125</v>
      </c>
      <c r="H45" s="41">
        <f>'Final Deck Calc'!H45</f>
        <v>1048.66207322125</v>
      </c>
      <c r="I45" s="41">
        <f>'Final Deck Calc'!I45</f>
        <v>1048.7260732212501</v>
      </c>
      <c r="J45" s="41">
        <f>'Final Deck Calc'!J45</f>
        <v>1048.85407322125</v>
      </c>
      <c r="K45" s="41">
        <f>'Final Deck Calc'!K45</f>
        <v>1048.7260732212501</v>
      </c>
      <c r="L45" s="41">
        <f>'Final Deck Calc'!L45</f>
        <v>1048.66207322125</v>
      </c>
      <c r="M45" s="41">
        <f>'Final Deck Calc'!M45</f>
        <v>1048.66207322125</v>
      </c>
      <c r="N45" s="41">
        <f>'Final Deck Calc'!N45</f>
        <v>1048.66207322125</v>
      </c>
    </row>
    <row r="46" spans="4:14" ht="12.75" customHeight="1" x14ac:dyDescent="0.25">
      <c r="D46" s="127"/>
      <c r="E46" s="122">
        <v>0.75</v>
      </c>
      <c r="F46" s="40">
        <f>'Final Deck Calc'!F46</f>
        <v>1059.9775</v>
      </c>
      <c r="G46" s="40">
        <f>'Final Deck Calc'!G46</f>
        <v>1059.9775</v>
      </c>
      <c r="H46" s="40">
        <f>'Final Deck Calc'!H46</f>
        <v>1059.9775</v>
      </c>
      <c r="I46" s="40">
        <f>'Final Deck Calc'!I46</f>
        <v>1059.9775</v>
      </c>
      <c r="J46" s="40">
        <f>'Final Deck Calc'!J46</f>
        <v>1059.9775</v>
      </c>
      <c r="K46" s="40">
        <f>'Final Deck Calc'!K46</f>
        <v>1059.9775</v>
      </c>
      <c r="L46" s="40">
        <f>'Final Deck Calc'!L46</f>
        <v>1059.9775</v>
      </c>
      <c r="M46" s="40">
        <f>'Final Deck Calc'!M46</f>
        <v>1059.9775</v>
      </c>
      <c r="N46" s="40">
        <f>'Final Deck Calc'!N46</f>
        <v>1059.9775</v>
      </c>
    </row>
    <row r="47" spans="4:14" ht="12.75" customHeight="1" thickBot="1" x14ac:dyDescent="0.3">
      <c r="D47" s="127"/>
      <c r="E47" s="123"/>
      <c r="F47" s="41">
        <f>'Final Deck Calc'!F47</f>
        <v>1048.3491248228124</v>
      </c>
      <c r="G47" s="41">
        <f>'Final Deck Calc'!G47</f>
        <v>1048.3491248228124</v>
      </c>
      <c r="H47" s="41">
        <f>'Final Deck Calc'!H47</f>
        <v>1048.3491248228124</v>
      </c>
      <c r="I47" s="41">
        <f>'Final Deck Calc'!I47</f>
        <v>1048.4131248228125</v>
      </c>
      <c r="J47" s="41">
        <f>'Final Deck Calc'!J47</f>
        <v>1048.5411248228124</v>
      </c>
      <c r="K47" s="41">
        <f>'Final Deck Calc'!K47</f>
        <v>1048.4131248228125</v>
      </c>
      <c r="L47" s="41">
        <f>'Final Deck Calc'!L47</f>
        <v>1048.3491248228124</v>
      </c>
      <c r="M47" s="41">
        <f>'Final Deck Calc'!M47</f>
        <v>1048.3491248228124</v>
      </c>
      <c r="N47" s="41">
        <f>'Final Deck Calc'!N47</f>
        <v>1048.3491248228124</v>
      </c>
    </row>
    <row r="48" spans="4:14" ht="12.75" customHeight="1" x14ac:dyDescent="0.25">
      <c r="D48" s="127"/>
      <c r="E48" s="124" t="s">
        <v>73</v>
      </c>
      <c r="F48" s="40">
        <f>'Final Deck Calc'!F48</f>
        <v>1066.54</v>
      </c>
      <c r="G48" s="40">
        <f>'Final Deck Calc'!G48</f>
        <v>1066.54</v>
      </c>
      <c r="H48" s="40">
        <f>'Final Deck Calc'!H48</f>
        <v>1066.54</v>
      </c>
      <c r="I48" s="40">
        <f>'Final Deck Calc'!I48</f>
        <v>1066.54</v>
      </c>
      <c r="J48" s="40">
        <f>'Final Deck Calc'!J48</f>
        <v>1066.54</v>
      </c>
      <c r="K48" s="40">
        <f>'Final Deck Calc'!K48</f>
        <v>1066.54</v>
      </c>
      <c r="L48" s="40">
        <f>'Final Deck Calc'!L48</f>
        <v>1066.54</v>
      </c>
      <c r="M48" s="40">
        <f>'Final Deck Calc'!M48</f>
        <v>1066.54</v>
      </c>
      <c r="N48" s="40">
        <f>'Final Deck Calc'!N48</f>
        <v>1066.54</v>
      </c>
    </row>
    <row r="49" spans="4:14" ht="12.75" customHeight="1" thickBot="1" x14ac:dyDescent="0.3">
      <c r="D49" s="128"/>
      <c r="E49" s="130"/>
      <c r="F49" s="41">
        <f>'Final Deck Calc'!F49</f>
        <v>1048.00602994</v>
      </c>
      <c r="G49" s="41">
        <f>'Final Deck Calc'!G49</f>
        <v>1048.00602994</v>
      </c>
      <c r="H49" s="41">
        <f>'Final Deck Calc'!H49</f>
        <v>1048.00602994</v>
      </c>
      <c r="I49" s="41">
        <f>'Final Deck Calc'!I49</f>
        <v>1048.07002994</v>
      </c>
      <c r="J49" s="41">
        <f>'Final Deck Calc'!J49</f>
        <v>1048.19802994</v>
      </c>
      <c r="K49" s="41">
        <f>'Final Deck Calc'!K49</f>
        <v>1048.07002994</v>
      </c>
      <c r="L49" s="41">
        <f>'Final Deck Calc'!L49</f>
        <v>1048.00602994</v>
      </c>
      <c r="M49" s="41">
        <f>'Final Deck Calc'!M49</f>
        <v>1048.00602994</v>
      </c>
      <c r="N49" s="41">
        <f>'Final Deck Calc'!N49</f>
        <v>1048.00602994</v>
      </c>
    </row>
    <row r="50" spans="4:14" ht="12.75" customHeight="1" x14ac:dyDescent="0.25">
      <c r="D50" s="61"/>
      <c r="E50" s="59"/>
      <c r="F50" s="73"/>
      <c r="G50" s="73"/>
      <c r="H50" s="73"/>
      <c r="I50" s="73"/>
      <c r="J50" s="73"/>
      <c r="K50" s="73"/>
      <c r="L50" s="73"/>
      <c r="M50" s="73"/>
      <c r="N50" s="73"/>
    </row>
    <row r="51" spans="4:14" ht="12.75" customHeight="1" x14ac:dyDescent="0.25">
      <c r="E51" s="60" t="s">
        <v>20</v>
      </c>
      <c r="F51" s="134" t="s">
        <v>21</v>
      </c>
      <c r="G51" s="134"/>
      <c r="H51" s="134"/>
      <c r="I51" s="134"/>
      <c r="J51" s="134"/>
      <c r="K51" s="134"/>
      <c r="L51" s="134"/>
      <c r="M51" s="134"/>
    </row>
    <row r="52" spans="4:14" ht="12.75" customHeight="1" x14ac:dyDescent="0.25">
      <c r="F52" s="134"/>
      <c r="G52" s="134"/>
      <c r="H52" s="134"/>
      <c r="I52" s="134"/>
      <c r="J52" s="134"/>
      <c r="K52" s="134"/>
      <c r="L52" s="134"/>
      <c r="M52" s="134"/>
    </row>
    <row r="53" spans="4:14" ht="12.75" customHeight="1" x14ac:dyDescent="0.25">
      <c r="K53" s="19"/>
      <c r="L53" s="19"/>
      <c r="M53" s="25"/>
    </row>
    <row r="54" spans="4:14" ht="17.25" customHeight="1" x14ac:dyDescent="0.25">
      <c r="K54" s="19"/>
      <c r="L54" s="19"/>
      <c r="M54" s="25"/>
    </row>
    <row r="55" spans="4:14" ht="17.25" customHeight="1" x14ac:dyDescent="0.25">
      <c r="K55" s="19"/>
      <c r="L55" s="19"/>
      <c r="M55" s="25"/>
    </row>
  </sheetData>
  <mergeCells count="28">
    <mergeCell ref="F51:M52"/>
    <mergeCell ref="E36:E37"/>
    <mergeCell ref="D2:N2"/>
    <mergeCell ref="D14:D39"/>
    <mergeCell ref="E14:E15"/>
    <mergeCell ref="E16:E17"/>
    <mergeCell ref="E32:E33"/>
    <mergeCell ref="E34:E35"/>
    <mergeCell ref="E18:E19"/>
    <mergeCell ref="E20:E21"/>
    <mergeCell ref="E24:E25"/>
    <mergeCell ref="E26:E27"/>
    <mergeCell ref="E28:E29"/>
    <mergeCell ref="E38:E39"/>
    <mergeCell ref="E12:E13"/>
    <mergeCell ref="E10:E11"/>
    <mergeCell ref="E8:E9"/>
    <mergeCell ref="E6:E7"/>
    <mergeCell ref="E4:E5"/>
    <mergeCell ref="D4:D13"/>
    <mergeCell ref="D40:D49"/>
    <mergeCell ref="E40:E41"/>
    <mergeCell ref="E42:E43"/>
    <mergeCell ref="E44:E45"/>
    <mergeCell ref="E46:E47"/>
    <mergeCell ref="E48:E49"/>
    <mergeCell ref="E22:E23"/>
    <mergeCell ref="E30:E31"/>
  </mergeCells>
  <printOptions horizontalCentered="1" verticalCentered="1"/>
  <pageMargins left="0.75" right="0.75" top="0.75" bottom="0.75" header="0.5" footer="0.5"/>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AR115"/>
  <sheetViews>
    <sheetView zoomScaleNormal="100" workbookViewId="0">
      <selection activeCell="I15" sqref="I15"/>
    </sheetView>
  </sheetViews>
  <sheetFormatPr defaultRowHeight="15" x14ac:dyDescent="0.25"/>
  <cols>
    <col min="2" max="2" width="5.7109375" customWidth="1"/>
    <col min="3" max="3" width="18.42578125" customWidth="1"/>
    <col min="4" max="4" width="26.5703125" style="2" customWidth="1"/>
    <col min="6" max="7" width="11.28515625" style="2" bestFit="1" customWidth="1"/>
    <col min="8" max="8" width="11.28515625" style="2" customWidth="1"/>
    <col min="9" max="9" width="16.5703125" style="2" customWidth="1"/>
    <col min="10" max="10" width="11.28515625" style="2" bestFit="1" customWidth="1"/>
    <col min="11" max="12" width="12.28515625" style="2" customWidth="1"/>
    <col min="13" max="13" width="11.28515625" style="2" customWidth="1"/>
    <col min="14" max="14" width="11.28515625" style="2" bestFit="1" customWidth="1"/>
    <col min="15" max="15" width="11.7109375" customWidth="1"/>
    <col min="16" max="16" width="4.85546875" customWidth="1"/>
    <col min="18" max="18" width="9.5703125" bestFit="1" customWidth="1"/>
    <col min="20" max="20" width="13.42578125" bestFit="1" customWidth="1"/>
    <col min="21" max="21" width="9.5703125" bestFit="1" customWidth="1"/>
    <col min="23" max="23" width="20.140625" customWidth="1"/>
    <col min="24" max="24" width="8.7109375" customWidth="1"/>
    <col min="25" max="27" width="9.28515625" bestFit="1" customWidth="1"/>
    <col min="28" max="28" width="9.5703125" bestFit="1" customWidth="1"/>
    <col min="30" max="30" width="9.5703125" bestFit="1" customWidth="1"/>
    <col min="32" max="32" width="9.5703125" bestFit="1" customWidth="1"/>
  </cols>
  <sheetData>
    <row r="1" spans="2:33" ht="15.75" thickBot="1" x14ac:dyDescent="0.3"/>
    <row r="2" spans="2:33" ht="15.75" thickBot="1" x14ac:dyDescent="0.3">
      <c r="C2" s="1" t="s">
        <v>0</v>
      </c>
      <c r="D2" s="2" t="s">
        <v>1</v>
      </c>
      <c r="E2" t="s">
        <v>2</v>
      </c>
      <c r="F2" s="9">
        <v>-19.166599999999999</v>
      </c>
      <c r="G2" s="9">
        <v>-16</v>
      </c>
      <c r="H2" s="9">
        <v>-12</v>
      </c>
      <c r="I2" s="9">
        <v>-8</v>
      </c>
      <c r="J2" s="9">
        <v>0</v>
      </c>
      <c r="K2" s="9">
        <v>8</v>
      </c>
      <c r="L2" s="9">
        <v>12</v>
      </c>
      <c r="M2" s="9">
        <v>16</v>
      </c>
      <c r="N2" s="9">
        <v>19.16666</v>
      </c>
      <c r="U2" s="7"/>
    </row>
    <row r="3" spans="2:33" ht="38.25" x14ac:dyDescent="0.25">
      <c r="C3" s="4"/>
      <c r="F3" s="33" t="s">
        <v>40</v>
      </c>
      <c r="G3" s="33" t="s">
        <v>60</v>
      </c>
      <c r="H3" s="33" t="s">
        <v>56</v>
      </c>
      <c r="I3" s="33" t="s">
        <v>61</v>
      </c>
      <c r="J3" s="33" t="s">
        <v>53</v>
      </c>
      <c r="K3" s="33" t="s">
        <v>62</v>
      </c>
      <c r="L3" s="33" t="s">
        <v>57</v>
      </c>
      <c r="M3" s="33" t="s">
        <v>63</v>
      </c>
      <c r="N3" s="33" t="s">
        <v>41</v>
      </c>
      <c r="U3" s="7"/>
    </row>
    <row r="4" spans="2:33" x14ac:dyDescent="0.25">
      <c r="B4" s="111" t="s">
        <v>22</v>
      </c>
      <c r="C4" s="112" t="s">
        <v>72</v>
      </c>
      <c r="D4" s="13">
        <v>913.54</v>
      </c>
      <c r="F4" s="67">
        <f>$D4+F$2*TAN(RADIANS($R$24))</f>
        <v>913.54</v>
      </c>
      <c r="G4" s="67">
        <f t="shared" ref="G4:N4" si="0">$D4+G$2*TAN(RADIANS($R$24))</f>
        <v>913.54</v>
      </c>
      <c r="H4" s="67">
        <f t="shared" si="0"/>
        <v>913.54</v>
      </c>
      <c r="I4" s="67">
        <f t="shared" si="0"/>
        <v>913.54</v>
      </c>
      <c r="J4" s="67">
        <f t="shared" si="0"/>
        <v>913.54</v>
      </c>
      <c r="K4" s="67">
        <f t="shared" si="0"/>
        <v>913.54</v>
      </c>
      <c r="L4" s="67">
        <f t="shared" si="0"/>
        <v>913.54</v>
      </c>
      <c r="M4" s="67">
        <f t="shared" si="0"/>
        <v>913.54</v>
      </c>
      <c r="N4" s="67">
        <f t="shared" si="0"/>
        <v>913.54</v>
      </c>
      <c r="U4" s="7"/>
    </row>
    <row r="5" spans="2:33" x14ac:dyDescent="0.25">
      <c r="B5" s="111"/>
      <c r="C5" s="113"/>
      <c r="E5" s="14">
        <f>D6-D4</f>
        <v>6.5625</v>
      </c>
      <c r="F5" s="68">
        <f>+($R$21/2)*(F4-$U$16)^2+$R$19*(F4-$U$16)+$U$17-(MIN(ABS(F$2),$R$25))*$R$23</f>
        <v>1048.1633139399999</v>
      </c>
      <c r="G5" s="68">
        <f t="shared" ref="G5:N5" si="1">+($R$21/2)*(G4-$U$16)^2+$R$19*(G4-$U$16)+$U$17-(MIN(ABS(G$2),$R$25))*$R$23</f>
        <v>1048.1633139399999</v>
      </c>
      <c r="H5" s="68">
        <f t="shared" si="1"/>
        <v>1048.1633139399999</v>
      </c>
      <c r="I5" s="68">
        <f t="shared" si="1"/>
        <v>1048.2273139399999</v>
      </c>
      <c r="J5" s="68">
        <f t="shared" si="1"/>
        <v>1048.3553139399999</v>
      </c>
      <c r="K5" s="68">
        <f t="shared" si="1"/>
        <v>1048.2273139399999</v>
      </c>
      <c r="L5" s="68">
        <f t="shared" si="1"/>
        <v>1048.1633139399999</v>
      </c>
      <c r="M5" s="68">
        <f t="shared" si="1"/>
        <v>1048.1633139399999</v>
      </c>
      <c r="N5" s="68">
        <f t="shared" si="1"/>
        <v>1048.1633139399999</v>
      </c>
      <c r="U5" s="7"/>
    </row>
    <row r="6" spans="2:33" x14ac:dyDescent="0.25">
      <c r="B6" s="111"/>
      <c r="C6" s="113">
        <v>0.25</v>
      </c>
      <c r="D6" s="3">
        <f>+$D$4+(C6)*(26.25)</f>
        <v>920.10249999999996</v>
      </c>
      <c r="F6" s="67">
        <f>$D6+F$2*TAN(RADIANS($R$24))</f>
        <v>920.10249999999996</v>
      </c>
      <c r="G6" s="67">
        <f t="shared" ref="G6:N6" si="2">$D6+G$2*TAN(RADIANS($R$24))</f>
        <v>920.10249999999996</v>
      </c>
      <c r="H6" s="67">
        <f t="shared" si="2"/>
        <v>920.10249999999996</v>
      </c>
      <c r="I6" s="67">
        <f t="shared" si="2"/>
        <v>920.10249999999996</v>
      </c>
      <c r="J6" s="67">
        <f t="shared" si="2"/>
        <v>920.10249999999996</v>
      </c>
      <c r="K6" s="67">
        <f t="shared" si="2"/>
        <v>920.10249999999996</v>
      </c>
      <c r="L6" s="67">
        <f t="shared" si="2"/>
        <v>920.10249999999996</v>
      </c>
      <c r="M6" s="67">
        <f t="shared" si="2"/>
        <v>920.10249999999996</v>
      </c>
      <c r="N6" s="67">
        <f t="shared" si="2"/>
        <v>920.10249999999996</v>
      </c>
      <c r="U6" s="7"/>
    </row>
    <row r="7" spans="2:33" x14ac:dyDescent="0.25">
      <c r="B7" s="111"/>
      <c r="C7" s="113"/>
      <c r="E7" s="14">
        <f>D8-D6</f>
        <v>6.5625</v>
      </c>
      <c r="F7" s="68">
        <f>+($R$21/2)*(F6-$U$16)^2+$R$19*(F6-$U$16)+$U$17-(MIN(ABS(F$2),$R$25))*$R$23</f>
        <v>1048.4929163228123</v>
      </c>
      <c r="G7" s="68">
        <f t="shared" ref="G7:N7" si="3">+($R$21/2)*(G6-$U$16)^2+$R$19*(G6-$U$16)+$U$17-(MIN(ABS(G$2),$R$25))*$R$23</f>
        <v>1048.4929163228123</v>
      </c>
      <c r="H7" s="68">
        <f t="shared" si="3"/>
        <v>1048.4929163228123</v>
      </c>
      <c r="I7" s="68">
        <f t="shared" si="3"/>
        <v>1048.5569163228124</v>
      </c>
      <c r="J7" s="68">
        <f t="shared" si="3"/>
        <v>1048.6849163228123</v>
      </c>
      <c r="K7" s="68">
        <f t="shared" si="3"/>
        <v>1048.5569163228124</v>
      </c>
      <c r="L7" s="68">
        <f t="shared" si="3"/>
        <v>1048.4929163228123</v>
      </c>
      <c r="M7" s="68">
        <f t="shared" si="3"/>
        <v>1048.4929163228123</v>
      </c>
      <c r="N7" s="68">
        <f t="shared" si="3"/>
        <v>1048.4929163228123</v>
      </c>
      <c r="U7" s="7"/>
    </row>
    <row r="8" spans="2:33" x14ac:dyDescent="0.25">
      <c r="B8" s="111"/>
      <c r="C8" s="113">
        <v>0.5</v>
      </c>
      <c r="D8" s="3">
        <f>+$D$4+(C8)*(26.25)</f>
        <v>926.66499999999996</v>
      </c>
      <c r="F8" s="67">
        <f>$D8+F$2*TAN(RADIANS($R$24))</f>
        <v>926.66499999999996</v>
      </c>
      <c r="G8" s="67">
        <f t="shared" ref="G8:N8" si="4">$D8+G$2*TAN(RADIANS($R$24))</f>
        <v>926.66499999999996</v>
      </c>
      <c r="H8" s="67">
        <f t="shared" si="4"/>
        <v>926.66499999999996</v>
      </c>
      <c r="I8" s="67">
        <f t="shared" si="4"/>
        <v>926.66499999999996</v>
      </c>
      <c r="J8" s="67">
        <f t="shared" si="4"/>
        <v>926.66499999999996</v>
      </c>
      <c r="K8" s="67">
        <f t="shared" si="4"/>
        <v>926.66499999999996</v>
      </c>
      <c r="L8" s="67">
        <f t="shared" si="4"/>
        <v>926.66499999999996</v>
      </c>
      <c r="M8" s="67">
        <f t="shared" si="4"/>
        <v>926.66499999999996</v>
      </c>
      <c r="N8" s="67">
        <f t="shared" si="4"/>
        <v>926.66499999999996</v>
      </c>
      <c r="U8" s="7"/>
    </row>
    <row r="9" spans="2:33" x14ac:dyDescent="0.25">
      <c r="B9" s="111"/>
      <c r="C9" s="113"/>
      <c r="E9" s="14">
        <f>D10-D8</f>
        <v>6.5625</v>
      </c>
      <c r="F9" s="68">
        <f>+($R$21/2)*(F8-$U$16)^2+$R$19*(F8-$U$16)+$U$17-(MIN(ABS(F$2),$R$25))*$R$23</f>
        <v>1048.7923722212499</v>
      </c>
      <c r="G9" s="68">
        <f t="shared" ref="G9:N9" si="5">+($R$21/2)*(G8-$U$16)^2+$R$19*(G8-$U$16)+$U$17-(MIN(ABS(G$2),$R$25))*$R$23</f>
        <v>1048.7923722212499</v>
      </c>
      <c r="H9" s="68">
        <f t="shared" si="5"/>
        <v>1048.7923722212499</v>
      </c>
      <c r="I9" s="68">
        <f t="shared" si="5"/>
        <v>1048.85637222125</v>
      </c>
      <c r="J9" s="68">
        <f t="shared" si="5"/>
        <v>1048.9843722212499</v>
      </c>
      <c r="K9" s="68">
        <f t="shared" si="5"/>
        <v>1048.85637222125</v>
      </c>
      <c r="L9" s="68">
        <f t="shared" si="5"/>
        <v>1048.7923722212499</v>
      </c>
      <c r="M9" s="68">
        <f t="shared" si="5"/>
        <v>1048.7923722212499</v>
      </c>
      <c r="N9" s="68">
        <f t="shared" si="5"/>
        <v>1048.7923722212499</v>
      </c>
      <c r="U9" s="7"/>
    </row>
    <row r="10" spans="2:33" x14ac:dyDescent="0.25">
      <c r="B10" s="111"/>
      <c r="C10" s="113">
        <v>0.75</v>
      </c>
      <c r="D10" s="3">
        <f>+$D$4+(C10)*(26.25)</f>
        <v>933.22749999999996</v>
      </c>
      <c r="F10" s="67">
        <f>$D10+F$2*TAN(RADIANS($R$24))</f>
        <v>933.22749999999996</v>
      </c>
      <c r="G10" s="67">
        <f t="shared" ref="G10:N10" si="6">$D10+G$2*TAN(RADIANS($R$24))</f>
        <v>933.22749999999996</v>
      </c>
      <c r="H10" s="67">
        <f t="shared" si="6"/>
        <v>933.22749999999996</v>
      </c>
      <c r="I10" s="67">
        <f t="shared" si="6"/>
        <v>933.22749999999996</v>
      </c>
      <c r="J10" s="67">
        <f t="shared" si="6"/>
        <v>933.22749999999996</v>
      </c>
      <c r="K10" s="67">
        <f t="shared" si="6"/>
        <v>933.22749999999996</v>
      </c>
      <c r="L10" s="67">
        <f t="shared" si="6"/>
        <v>933.22749999999996</v>
      </c>
      <c r="M10" s="67">
        <f t="shared" si="6"/>
        <v>933.22749999999996</v>
      </c>
      <c r="N10" s="67">
        <f t="shared" si="6"/>
        <v>933.22749999999996</v>
      </c>
      <c r="U10" s="7"/>
    </row>
    <row r="11" spans="2:33" x14ac:dyDescent="0.25">
      <c r="B11" s="111"/>
      <c r="C11" s="113"/>
      <c r="E11" s="14">
        <f>D12-D10</f>
        <v>6.5625</v>
      </c>
      <c r="F11" s="68">
        <f>+($R$21/2)*(F10-$U$16)^2+$R$19*(F10-$U$16)+$U$17-(MIN(ABS(F$2),$R$25))*$R$23</f>
        <v>1049.0616816353124</v>
      </c>
      <c r="G11" s="68">
        <f t="shared" ref="G11:N11" si="7">+($R$21/2)*(G10-$U$16)^2+$R$19*(G10-$U$16)+$U$17-(MIN(ABS(G$2),$R$25))*$R$23</f>
        <v>1049.0616816353124</v>
      </c>
      <c r="H11" s="68">
        <f t="shared" si="7"/>
        <v>1049.0616816353124</v>
      </c>
      <c r="I11" s="68">
        <f t="shared" si="7"/>
        <v>1049.1256816353125</v>
      </c>
      <c r="J11" s="68">
        <f t="shared" si="7"/>
        <v>1049.2536816353124</v>
      </c>
      <c r="K11" s="68">
        <f t="shared" si="7"/>
        <v>1049.1256816353125</v>
      </c>
      <c r="L11" s="68">
        <f t="shared" si="7"/>
        <v>1049.0616816353124</v>
      </c>
      <c r="M11" s="68">
        <f t="shared" si="7"/>
        <v>1049.0616816353124</v>
      </c>
      <c r="N11" s="68">
        <f t="shared" si="7"/>
        <v>1049.0616816353124</v>
      </c>
      <c r="U11" s="7"/>
    </row>
    <row r="12" spans="2:33" x14ac:dyDescent="0.25">
      <c r="B12" s="111"/>
      <c r="C12" s="112" t="s">
        <v>64</v>
      </c>
      <c r="D12" s="3">
        <f>+$D$4+(1)*(26.25)</f>
        <v>939.79</v>
      </c>
      <c r="F12" s="67">
        <f>$D12+F$2*TAN(RADIANS($R$24))</f>
        <v>939.79</v>
      </c>
      <c r="G12" s="67">
        <f t="shared" ref="G12:N12" si="8">$D12+G$2*TAN(RADIANS($R$24))</f>
        <v>939.79</v>
      </c>
      <c r="H12" s="67">
        <f t="shared" si="8"/>
        <v>939.79</v>
      </c>
      <c r="I12" s="67">
        <f t="shared" si="8"/>
        <v>939.79</v>
      </c>
      <c r="J12" s="67">
        <f t="shared" si="8"/>
        <v>939.79</v>
      </c>
      <c r="K12" s="67">
        <f t="shared" si="8"/>
        <v>939.79</v>
      </c>
      <c r="L12" s="67">
        <f t="shared" si="8"/>
        <v>939.79</v>
      </c>
      <c r="M12" s="67">
        <f t="shared" si="8"/>
        <v>939.79</v>
      </c>
      <c r="N12" s="67">
        <f t="shared" si="8"/>
        <v>939.79</v>
      </c>
      <c r="U12" s="7"/>
    </row>
    <row r="13" spans="2:33" x14ac:dyDescent="0.25">
      <c r="B13" s="111"/>
      <c r="C13" s="113"/>
      <c r="E13" s="14">
        <f>D14-D12</f>
        <v>1.5</v>
      </c>
      <c r="F13" s="68">
        <f>+($R$21/2)*(F12-$U$16)^2+$R$19*(F12-$U$16)+$U$17-(MIN(ABS(F$2),$R$25))*$R$23</f>
        <v>1049.3008445649998</v>
      </c>
      <c r="G13" s="68">
        <f t="shared" ref="G13:N13" si="9">+($R$21/2)*(G12-$U$16)^2+$R$19*(G12-$U$16)+$U$17-(MIN(ABS(G$2),$R$25))*$R$23</f>
        <v>1049.3008445649998</v>
      </c>
      <c r="H13" s="68">
        <f t="shared" si="9"/>
        <v>1049.3008445649998</v>
      </c>
      <c r="I13" s="68">
        <f t="shared" si="9"/>
        <v>1049.3648445649999</v>
      </c>
      <c r="J13" s="68">
        <f t="shared" si="9"/>
        <v>1049.4928445649998</v>
      </c>
      <c r="K13" s="68">
        <f t="shared" si="9"/>
        <v>1049.3648445649999</v>
      </c>
      <c r="L13" s="68">
        <f t="shared" si="9"/>
        <v>1049.3008445649998</v>
      </c>
      <c r="M13" s="68">
        <f t="shared" si="9"/>
        <v>1049.3008445649998</v>
      </c>
      <c r="N13" s="68">
        <f t="shared" si="9"/>
        <v>1049.3008445649998</v>
      </c>
      <c r="U13" s="7"/>
    </row>
    <row r="14" spans="2:33" ht="15" customHeight="1" x14ac:dyDescent="0.25">
      <c r="B14" s="111" t="s">
        <v>58</v>
      </c>
      <c r="C14" s="112" t="s">
        <v>65</v>
      </c>
      <c r="D14" s="13">
        <v>941.29</v>
      </c>
      <c r="F14" s="67">
        <f>$D14+F$2*TAN(RADIANS($R$24))</f>
        <v>941.29</v>
      </c>
      <c r="G14" s="67">
        <f>$D14+G$2*TAN(RADIANS($R$24))</f>
        <v>941.29</v>
      </c>
      <c r="H14" s="67">
        <f>$D14+H$2*TAN(RADIANS($R$24))</f>
        <v>941.29</v>
      </c>
      <c r="I14" s="67">
        <f>$D14+I$2*TAN(RADIANS($R$24))</f>
        <v>941.29</v>
      </c>
      <c r="J14" s="67">
        <f>$D14</f>
        <v>941.29</v>
      </c>
      <c r="K14" s="67">
        <f>$D14+K$2*TAN(RADIANS($R$24))</f>
        <v>941.29</v>
      </c>
      <c r="L14" s="67">
        <f>$D14+L$2*TAN(RADIANS($R$24))</f>
        <v>941.29</v>
      </c>
      <c r="M14" s="67">
        <f>$D14+M$2*TAN(RADIANS($R$24))</f>
        <v>941.29</v>
      </c>
      <c r="N14" s="67">
        <f>$D14+N$2*TAN(RADIANS($R$24))</f>
        <v>941.29</v>
      </c>
      <c r="O14" s="15"/>
      <c r="W14" s="146"/>
      <c r="X14" s="16"/>
    </row>
    <row r="15" spans="2:33" ht="15" customHeight="1" x14ac:dyDescent="0.25">
      <c r="B15" s="111"/>
      <c r="C15" s="113"/>
      <c r="E15" s="14">
        <f>D16-D14</f>
        <v>9.75</v>
      </c>
      <c r="F15" s="68">
        <f t="shared" ref="F15:N15" si="10">+($R$21/2)*(F14-$U$16)^2+$R$19*(F14-$U$16)+$U$17-(MIN(ABS(F$2),$R$25))*$R$23</f>
        <v>1049.3512775649999</v>
      </c>
      <c r="G15" s="68">
        <f t="shared" si="10"/>
        <v>1049.3512775649999</v>
      </c>
      <c r="H15" s="68">
        <f t="shared" si="10"/>
        <v>1049.3512775649999</v>
      </c>
      <c r="I15" s="68">
        <f t="shared" si="10"/>
        <v>1049.415277565</v>
      </c>
      <c r="J15" s="68">
        <f t="shared" si="10"/>
        <v>1049.5432775649999</v>
      </c>
      <c r="K15" s="68">
        <f t="shared" si="10"/>
        <v>1049.415277565</v>
      </c>
      <c r="L15" s="68">
        <f t="shared" si="10"/>
        <v>1049.3512775649999</v>
      </c>
      <c r="M15" s="68">
        <f t="shared" si="10"/>
        <v>1049.3512775649999</v>
      </c>
      <c r="N15" s="68">
        <f t="shared" si="10"/>
        <v>1049.3512775649999</v>
      </c>
      <c r="O15" s="15"/>
      <c r="W15" s="147"/>
      <c r="X15" s="27"/>
      <c r="Y15" s="30"/>
      <c r="Z15" s="27"/>
      <c r="AA15" s="30"/>
      <c r="AB15" s="30"/>
      <c r="AC15" s="30"/>
      <c r="AD15" s="30"/>
      <c r="AE15" s="30"/>
      <c r="AF15" s="30"/>
      <c r="AG15" s="30"/>
    </row>
    <row r="16" spans="2:33" x14ac:dyDescent="0.25">
      <c r="B16" s="111"/>
      <c r="C16" s="113">
        <v>0.1</v>
      </c>
      <c r="D16" s="3">
        <f>+$D$14+(C16)*(97.5)</f>
        <v>951.04</v>
      </c>
      <c r="F16" s="67">
        <f>$D16+F$2*TAN(RADIANS($R$24))</f>
        <v>951.04</v>
      </c>
      <c r="G16" s="67">
        <f>$D16+G$2*TAN(RADIANS($R$24))</f>
        <v>951.04</v>
      </c>
      <c r="H16" s="67">
        <f>$D16+H$2*TAN(RADIANS($R$24))</f>
        <v>951.04</v>
      </c>
      <c r="I16" s="67">
        <f>$D16+I$2*TAN(RADIANS($R$24))</f>
        <v>951.04</v>
      </c>
      <c r="J16" s="67">
        <f>$D16</f>
        <v>951.04</v>
      </c>
      <c r="K16" s="67">
        <f>$D16+K$2*TAN(RADIANS($R$24))</f>
        <v>951.04</v>
      </c>
      <c r="L16" s="67">
        <f>$D16+L$2*TAN(RADIANS($R$24))</f>
        <v>951.04</v>
      </c>
      <c r="M16" s="67">
        <f>$D16+M$2*TAN(RADIANS($R$24))</f>
        <v>951.04</v>
      </c>
      <c r="N16" s="67">
        <f>$D16+N$2*TAN(RADIANS($R$24))</f>
        <v>951.04</v>
      </c>
      <c r="O16" s="15"/>
      <c r="Q16" s="6" t="s">
        <v>3</v>
      </c>
      <c r="R16" s="10">
        <v>1000</v>
      </c>
      <c r="T16" t="s">
        <v>4</v>
      </c>
      <c r="U16" s="7">
        <f>(R16-R18/2)</f>
        <v>900</v>
      </c>
      <c r="W16" s="148"/>
      <c r="X16" s="27"/>
      <c r="Y16" s="30"/>
      <c r="Z16" s="30"/>
      <c r="AA16" s="30"/>
      <c r="AB16" s="30"/>
      <c r="AC16" s="30"/>
      <c r="AD16" s="30"/>
      <c r="AE16" s="30"/>
      <c r="AF16" s="30"/>
      <c r="AG16" s="30"/>
    </row>
    <row r="17" spans="2:33" x14ac:dyDescent="0.25">
      <c r="B17" s="111"/>
      <c r="C17" s="113"/>
      <c r="D17" s="3"/>
      <c r="E17" s="14">
        <f>D18-D16</f>
        <v>9.75</v>
      </c>
      <c r="F17" s="68">
        <f t="shared" ref="F17:N17" si="11">+($R$21/2)*(F16-$U$16)^2+$R$19*(F16-$U$16)+$U$17-(MIN(ABS(F$2),$R$25))*$R$23</f>
        <v>1049.6407014399999</v>
      </c>
      <c r="G17" s="68">
        <f t="shared" si="11"/>
        <v>1049.6407014399999</v>
      </c>
      <c r="H17" s="68">
        <f t="shared" si="11"/>
        <v>1049.6407014399999</v>
      </c>
      <c r="I17" s="68">
        <f t="shared" si="11"/>
        <v>1049.70470144</v>
      </c>
      <c r="J17" s="68">
        <f t="shared" si="11"/>
        <v>1049.8327014399999</v>
      </c>
      <c r="K17" s="68">
        <f t="shared" si="11"/>
        <v>1049.70470144</v>
      </c>
      <c r="L17" s="68">
        <f t="shared" si="11"/>
        <v>1049.6407014399999</v>
      </c>
      <c r="M17" s="68">
        <f t="shared" si="11"/>
        <v>1049.6407014399999</v>
      </c>
      <c r="N17" s="68">
        <f t="shared" si="11"/>
        <v>1049.6407014399999</v>
      </c>
      <c r="O17" s="15"/>
      <c r="Q17" s="6" t="s">
        <v>5</v>
      </c>
      <c r="R17" s="11">
        <v>1053.78</v>
      </c>
      <c r="T17" t="s">
        <v>6</v>
      </c>
      <c r="U17" s="5">
        <f>(R17-R18/2*R19)</f>
        <v>1047.58</v>
      </c>
      <c r="W17" s="148"/>
      <c r="X17" s="27"/>
      <c r="Y17" s="30"/>
      <c r="Z17" s="27"/>
      <c r="AA17" s="30"/>
      <c r="AB17" s="27"/>
      <c r="AC17" s="30"/>
      <c r="AD17" s="27"/>
      <c r="AE17" s="30"/>
      <c r="AF17" s="27"/>
      <c r="AG17" s="30"/>
    </row>
    <row r="18" spans="2:33" x14ac:dyDescent="0.25">
      <c r="B18" s="111"/>
      <c r="C18" s="113">
        <v>0.2</v>
      </c>
      <c r="D18" s="3">
        <f>+$D$14+(C18)*(97.5)</f>
        <v>960.79</v>
      </c>
      <c r="F18" s="67">
        <f>$D18+F$2*TAN(RADIANS($R$24))</f>
        <v>960.79</v>
      </c>
      <c r="G18" s="67">
        <f>$D18+G$2*TAN(RADIANS($R$24))</f>
        <v>960.79</v>
      </c>
      <c r="H18" s="67">
        <f>$D18+H$2*TAN(RADIANS($R$24))</f>
        <v>960.79</v>
      </c>
      <c r="I18" s="67">
        <f>$D18+I$2*TAN(RADIANS($R$24))</f>
        <v>960.79</v>
      </c>
      <c r="J18" s="67">
        <f>$D18</f>
        <v>960.79</v>
      </c>
      <c r="K18" s="67">
        <f>$D18+K$2*TAN(RADIANS($R$24))</f>
        <v>960.79</v>
      </c>
      <c r="L18" s="67">
        <f>$D18+L$2*TAN(RADIANS($R$24))</f>
        <v>960.79</v>
      </c>
      <c r="M18" s="67">
        <f>$D18+M$2*TAN(RADIANS($R$24))</f>
        <v>960.79</v>
      </c>
      <c r="N18" s="67">
        <f>$D18+N$2*TAN(RADIANS($R$24))</f>
        <v>960.79</v>
      </c>
      <c r="O18" s="15"/>
      <c r="Q18" s="6" t="s">
        <v>7</v>
      </c>
      <c r="R18" s="11">
        <v>200</v>
      </c>
      <c r="U18" s="5"/>
      <c r="W18" s="148"/>
      <c r="X18" s="27"/>
      <c r="Y18" s="30"/>
      <c r="Z18" s="30"/>
      <c r="AA18" s="30"/>
      <c r="AB18" s="30"/>
      <c r="AC18" s="30"/>
      <c r="AD18" s="30"/>
      <c r="AE18" s="30"/>
      <c r="AF18" s="30"/>
      <c r="AG18" s="30"/>
    </row>
    <row r="19" spans="2:33" x14ac:dyDescent="0.25">
      <c r="B19" s="111"/>
      <c r="C19" s="113"/>
      <c r="D19" s="3"/>
      <c r="E19" s="14">
        <f>D20-D18</f>
        <v>9.75</v>
      </c>
      <c r="F19" s="68">
        <f t="shared" ref="F19:N19" si="12">+($R$21/2)*(F18-$U$16)^2+$R$19*(F18-$U$16)+$U$17-(MIN(ABS(F$2),$R$25))*$R$23</f>
        <v>1049.863581565</v>
      </c>
      <c r="G19" s="68">
        <f t="shared" si="12"/>
        <v>1049.863581565</v>
      </c>
      <c r="H19" s="68">
        <f t="shared" si="12"/>
        <v>1049.863581565</v>
      </c>
      <c r="I19" s="68">
        <f t="shared" si="12"/>
        <v>1049.9275815650001</v>
      </c>
      <c r="J19" s="68">
        <f t="shared" si="12"/>
        <v>1050.055581565</v>
      </c>
      <c r="K19" s="68">
        <f t="shared" si="12"/>
        <v>1049.9275815650001</v>
      </c>
      <c r="L19" s="68">
        <f t="shared" si="12"/>
        <v>1049.863581565</v>
      </c>
      <c r="M19" s="68">
        <f t="shared" si="12"/>
        <v>1049.863581565</v>
      </c>
      <c r="N19" s="68">
        <f t="shared" si="12"/>
        <v>1049.863581565</v>
      </c>
      <c r="O19" s="15"/>
      <c r="Q19" s="6" t="s">
        <v>8</v>
      </c>
      <c r="R19" s="12">
        <v>6.2E-2</v>
      </c>
      <c r="T19" t="s">
        <v>9</v>
      </c>
      <c r="U19" s="7">
        <f>(R16+R18/2)</f>
        <v>1100</v>
      </c>
      <c r="W19" s="148"/>
      <c r="X19" s="27"/>
      <c r="Y19" s="30"/>
      <c r="Z19" s="27"/>
      <c r="AA19" s="30"/>
      <c r="AB19" s="27"/>
      <c r="AC19" s="30"/>
      <c r="AD19" s="27"/>
      <c r="AE19" s="30"/>
      <c r="AF19" s="27"/>
      <c r="AG19" s="30"/>
    </row>
    <row r="20" spans="2:33" x14ac:dyDescent="0.25">
      <c r="B20" s="111"/>
      <c r="C20" s="113">
        <v>0.3</v>
      </c>
      <c r="D20" s="3">
        <f>+$D$14+(C20)*(97.5)</f>
        <v>970.54</v>
      </c>
      <c r="F20" s="67">
        <f>$D20+F$2*TAN(RADIANS($R$24))</f>
        <v>970.54</v>
      </c>
      <c r="G20" s="67">
        <f>$D20+G$2*TAN(RADIANS($R$24))</f>
        <v>970.54</v>
      </c>
      <c r="H20" s="67">
        <f>$D20+H$2*TAN(RADIANS($R$24))</f>
        <v>970.54</v>
      </c>
      <c r="I20" s="67">
        <f>$D20+I$2*TAN(RADIANS($R$24))</f>
        <v>970.54</v>
      </c>
      <c r="J20" s="67">
        <f>$D20</f>
        <v>970.54</v>
      </c>
      <c r="K20" s="67">
        <f>$D20+K$2*TAN(RADIANS($R$24))</f>
        <v>970.54</v>
      </c>
      <c r="L20" s="67">
        <f>$D20+L$2*TAN(RADIANS($R$24))</f>
        <v>970.54</v>
      </c>
      <c r="M20" s="67">
        <f>$D20+M$2*TAN(RADIANS($R$24))</f>
        <v>970.54</v>
      </c>
      <c r="N20" s="67">
        <f>$D20+N$2*TAN(RADIANS($R$24))</f>
        <v>970.54</v>
      </c>
      <c r="O20" s="15"/>
      <c r="Q20" s="6" t="s">
        <v>10</v>
      </c>
      <c r="R20" s="12">
        <v>-7.8E-2</v>
      </c>
      <c r="T20" t="s">
        <v>11</v>
      </c>
      <c r="U20" s="5">
        <f>(R17+R18/2*R20)</f>
        <v>1045.98</v>
      </c>
      <c r="W20" s="148"/>
      <c r="X20" s="27"/>
      <c r="Y20" s="30"/>
      <c r="Z20" s="30"/>
      <c r="AA20" s="30"/>
      <c r="AB20" s="30"/>
      <c r="AC20" s="30"/>
      <c r="AD20" s="30"/>
      <c r="AE20" s="30"/>
      <c r="AF20" s="30"/>
      <c r="AG20" s="30"/>
    </row>
    <row r="21" spans="2:33" x14ac:dyDescent="0.25">
      <c r="B21" s="111"/>
      <c r="C21" s="113"/>
      <c r="D21" s="3"/>
      <c r="E21" s="14">
        <f>D22-D20</f>
        <v>3.25</v>
      </c>
      <c r="F21" s="68">
        <f t="shared" ref="F21:N21" si="13">+($R$21/2)*(F20-$U$16)^2+$R$19*(F20-$U$16)+$U$17-(MIN(ABS(F$2),$R$25))*$R$23</f>
        <v>1050.0199179399999</v>
      </c>
      <c r="G21" s="68">
        <f t="shared" si="13"/>
        <v>1050.0199179399999</v>
      </c>
      <c r="H21" s="68">
        <f t="shared" si="13"/>
        <v>1050.0199179399999</v>
      </c>
      <c r="I21" s="68">
        <f t="shared" si="13"/>
        <v>1050.08391794</v>
      </c>
      <c r="J21" s="68">
        <f t="shared" si="13"/>
        <v>1050.2119179399999</v>
      </c>
      <c r="K21" s="68">
        <f t="shared" si="13"/>
        <v>1050.08391794</v>
      </c>
      <c r="L21" s="68">
        <f t="shared" si="13"/>
        <v>1050.0199179399999</v>
      </c>
      <c r="M21" s="68">
        <f t="shared" si="13"/>
        <v>1050.0199179399999</v>
      </c>
      <c r="N21" s="68">
        <f t="shared" si="13"/>
        <v>1050.0199179399999</v>
      </c>
      <c r="O21" s="15"/>
      <c r="Q21" s="6" t="s">
        <v>12</v>
      </c>
      <c r="R21">
        <f>+(R20-R19)/R18</f>
        <v>-7.000000000000001E-4</v>
      </c>
      <c r="U21" s="5"/>
      <c r="W21" s="148"/>
      <c r="X21" s="27"/>
      <c r="Y21" s="30"/>
      <c r="Z21" s="27"/>
      <c r="AA21" s="30"/>
      <c r="AB21" s="27"/>
      <c r="AC21" s="30"/>
      <c r="AD21" s="27"/>
      <c r="AE21" s="30"/>
      <c r="AF21" s="27"/>
      <c r="AG21" s="30"/>
    </row>
    <row r="22" spans="2:33" x14ac:dyDescent="0.25">
      <c r="B22" s="111"/>
      <c r="C22" s="113" t="s">
        <v>82</v>
      </c>
      <c r="D22" s="3">
        <f>D14+32.5</f>
        <v>973.79</v>
      </c>
      <c r="E22" s="14"/>
      <c r="F22" s="67">
        <f>$D22+F$2*TAN(RADIANS($R$24))</f>
        <v>973.79</v>
      </c>
      <c r="G22" s="67">
        <f>$D22+G$2*TAN(RADIANS($R$24))</f>
        <v>973.79</v>
      </c>
      <c r="H22" s="67">
        <f>$D22+H$2*TAN(RADIANS($R$24))</f>
        <v>973.79</v>
      </c>
      <c r="I22" s="67">
        <f>$D22+I$2*TAN(RADIANS($R$24))</f>
        <v>973.79</v>
      </c>
      <c r="J22" s="67">
        <f>$D22</f>
        <v>973.79</v>
      </c>
      <c r="K22" s="67">
        <f>$D22+K$2*TAN(RADIANS($R$24))</f>
        <v>973.79</v>
      </c>
      <c r="L22" s="67">
        <f>$D22+L$2*TAN(RADIANS($R$24))</f>
        <v>973.79</v>
      </c>
      <c r="M22" s="67">
        <f>$D22+M$2*TAN(RADIANS($R$24))</f>
        <v>973.79</v>
      </c>
      <c r="N22" s="67">
        <f>$D22+N$2*TAN(RADIANS($R$24))</f>
        <v>973.79</v>
      </c>
      <c r="O22" s="15"/>
      <c r="W22" s="31"/>
      <c r="X22" s="27"/>
      <c r="Y22" s="30"/>
      <c r="Z22" s="27"/>
      <c r="AA22" s="30"/>
      <c r="AB22" s="27"/>
      <c r="AC22" s="30"/>
      <c r="AD22" s="27"/>
      <c r="AE22" s="30"/>
      <c r="AF22" s="27"/>
      <c r="AG22" s="30"/>
    </row>
    <row r="23" spans="2:33" x14ac:dyDescent="0.25">
      <c r="B23" s="111"/>
      <c r="C23" s="113"/>
      <c r="D23" s="3"/>
      <c r="E23" s="14">
        <f>D24-D22</f>
        <v>6.5</v>
      </c>
      <c r="F23" s="68">
        <f t="shared" ref="F23:N23" si="14">+($R$21/2)*(F22-$U$16)^2+$R$19*(F22-$U$16)+$U$17-(MIN(ABS(F$2),$R$25))*$R$23</f>
        <v>1050.057242565</v>
      </c>
      <c r="G23" s="68">
        <f t="shared" si="14"/>
        <v>1050.057242565</v>
      </c>
      <c r="H23" s="68">
        <f t="shared" si="14"/>
        <v>1050.057242565</v>
      </c>
      <c r="I23" s="68">
        <f t="shared" si="14"/>
        <v>1050.1212425650001</v>
      </c>
      <c r="J23" s="68">
        <f t="shared" si="14"/>
        <v>1050.249242565</v>
      </c>
      <c r="K23" s="68">
        <f t="shared" si="14"/>
        <v>1050.1212425650001</v>
      </c>
      <c r="L23" s="68">
        <f t="shared" si="14"/>
        <v>1050.057242565</v>
      </c>
      <c r="M23" s="68">
        <f t="shared" si="14"/>
        <v>1050.057242565</v>
      </c>
      <c r="N23" s="68">
        <f t="shared" si="14"/>
        <v>1050.057242565</v>
      </c>
      <c r="O23" s="15"/>
      <c r="Q23" s="6" t="s">
        <v>13</v>
      </c>
      <c r="R23" s="8">
        <v>1.6E-2</v>
      </c>
      <c r="W23" s="31"/>
      <c r="X23" s="27"/>
      <c r="Y23" s="30"/>
      <c r="Z23" s="27"/>
      <c r="AA23" s="30"/>
      <c r="AB23" s="27"/>
      <c r="AC23" s="30"/>
      <c r="AD23" s="27"/>
      <c r="AE23" s="30"/>
      <c r="AF23" s="27"/>
      <c r="AG23" s="30"/>
    </row>
    <row r="24" spans="2:33" x14ac:dyDescent="0.25">
      <c r="B24" s="111"/>
      <c r="C24" s="113">
        <v>0.4</v>
      </c>
      <c r="D24" s="3">
        <f>+$D$14+(C24)*(97.5)</f>
        <v>980.29</v>
      </c>
      <c r="F24" s="67">
        <f>$D24+F$2*TAN(RADIANS($R$24))</f>
        <v>980.29</v>
      </c>
      <c r="G24" s="67">
        <f>$D24+G$2*TAN(RADIANS($R$24))</f>
        <v>980.29</v>
      </c>
      <c r="H24" s="67">
        <f>$D24+H$2*TAN(RADIANS($R$24))</f>
        <v>980.29</v>
      </c>
      <c r="I24" s="67">
        <f>$D24+I$2*TAN(RADIANS($R$24))</f>
        <v>980.29</v>
      </c>
      <c r="J24" s="67">
        <f>$D24</f>
        <v>980.29</v>
      </c>
      <c r="K24" s="67">
        <f>$D24+K$2*TAN(RADIANS($R$24))</f>
        <v>980.29</v>
      </c>
      <c r="L24" s="67">
        <f>$D24+L$2*TAN(RADIANS($R$24))</f>
        <v>980.29</v>
      </c>
      <c r="M24" s="67">
        <f>$D24+M$2*TAN(RADIANS($R$24))</f>
        <v>980.29</v>
      </c>
      <c r="N24" s="67">
        <f>$D24+N$2*TAN(RADIANS($R$24))</f>
        <v>980.29</v>
      </c>
      <c r="O24" s="15"/>
      <c r="Q24" s="6" t="s">
        <v>14</v>
      </c>
      <c r="R24" s="8">
        <v>0</v>
      </c>
      <c r="W24" s="31"/>
      <c r="X24" s="27"/>
      <c r="Y24" s="30"/>
      <c r="Z24" s="27"/>
      <c r="AA24" s="30"/>
      <c r="AB24" s="27"/>
      <c r="AC24" s="30"/>
      <c r="AD24" s="27"/>
      <c r="AE24" s="30"/>
      <c r="AF24" s="27"/>
      <c r="AG24" s="30"/>
    </row>
    <row r="25" spans="2:33" x14ac:dyDescent="0.25">
      <c r="B25" s="111"/>
      <c r="C25" s="113"/>
      <c r="D25" s="3"/>
      <c r="E25" s="14">
        <f>D26-D24</f>
        <v>9.75</v>
      </c>
      <c r="F25" s="68">
        <f t="shared" ref="F25:N25" si="15">+($R$21/2)*(F24-$U$16)^2+$R$19*(F24-$U$16)+$U$17-(MIN(ABS(F$2),$R$25))*$R$23</f>
        <v>1050.1097105649999</v>
      </c>
      <c r="G25" s="68">
        <f t="shared" si="15"/>
        <v>1050.1097105649999</v>
      </c>
      <c r="H25" s="68">
        <f t="shared" si="15"/>
        <v>1050.1097105649999</v>
      </c>
      <c r="I25" s="68">
        <f t="shared" si="15"/>
        <v>1050.173710565</v>
      </c>
      <c r="J25" s="68">
        <f t="shared" si="15"/>
        <v>1050.3017105649999</v>
      </c>
      <c r="K25" s="68">
        <f t="shared" si="15"/>
        <v>1050.173710565</v>
      </c>
      <c r="L25" s="68">
        <f t="shared" si="15"/>
        <v>1050.1097105649999</v>
      </c>
      <c r="M25" s="68">
        <f t="shared" si="15"/>
        <v>1050.1097105649999</v>
      </c>
      <c r="N25" s="68">
        <f t="shared" si="15"/>
        <v>1050.1097105649999</v>
      </c>
      <c r="O25" s="15"/>
      <c r="Q25" s="6" t="s">
        <v>59</v>
      </c>
      <c r="R25" s="8">
        <v>12</v>
      </c>
      <c r="W25" s="31"/>
      <c r="X25" s="27"/>
      <c r="Y25" s="30"/>
      <c r="Z25" s="27"/>
      <c r="AA25" s="30"/>
      <c r="AB25" s="27"/>
      <c r="AC25" s="30"/>
      <c r="AD25" s="27"/>
      <c r="AE25" s="30"/>
      <c r="AF25" s="27"/>
      <c r="AG25" s="30"/>
    </row>
    <row r="26" spans="2:33" x14ac:dyDescent="0.25">
      <c r="B26" s="111"/>
      <c r="C26" s="113">
        <v>0.5</v>
      </c>
      <c r="D26" s="3">
        <f>+$D$14+(C26)*(97.5)</f>
        <v>990.04</v>
      </c>
      <c r="F26" s="67">
        <f>$D26+F$2*TAN(RADIANS($R$24))</f>
        <v>990.04</v>
      </c>
      <c r="G26" s="67">
        <f>$D26+G$2*TAN(RADIANS($R$24))</f>
        <v>990.04</v>
      </c>
      <c r="H26" s="67">
        <f>$D26+H$2*TAN(RADIANS($R$24))</f>
        <v>990.04</v>
      </c>
      <c r="I26" s="67">
        <f>$D26+I$2*TAN(RADIANS($R$24))</f>
        <v>990.04</v>
      </c>
      <c r="J26" s="67">
        <f>$D26</f>
        <v>990.04</v>
      </c>
      <c r="K26" s="67">
        <f>$D26+K$2*TAN(RADIANS($R$24))</f>
        <v>990.04</v>
      </c>
      <c r="L26" s="67">
        <f>$D26+L$2*TAN(RADIANS($R$24))</f>
        <v>990.04</v>
      </c>
      <c r="M26" s="67">
        <f>$D26+M$2*TAN(RADIANS($R$24))</f>
        <v>990.04</v>
      </c>
      <c r="N26" s="67">
        <f>$D26+N$2*TAN(RADIANS($R$24))</f>
        <v>990.04</v>
      </c>
      <c r="O26" s="15"/>
      <c r="Q26" s="6"/>
      <c r="W26" s="31"/>
      <c r="X26" s="27"/>
      <c r="Y26" s="30"/>
      <c r="Z26" s="27"/>
      <c r="AA26" s="30"/>
      <c r="AB26" s="27"/>
      <c r="AC26" s="30"/>
      <c r="AD26" s="27"/>
      <c r="AE26" s="30"/>
      <c r="AF26" s="27"/>
      <c r="AG26" s="30"/>
    </row>
    <row r="27" spans="2:33" x14ac:dyDescent="0.25">
      <c r="B27" s="111"/>
      <c r="C27" s="113"/>
      <c r="D27" s="3"/>
      <c r="E27" s="14">
        <f>D28-D26</f>
        <v>9.75</v>
      </c>
      <c r="F27" s="68">
        <f t="shared" ref="F27:N27" si="16">+($R$21/2)*(F26-$U$16)^2+$R$19*(F26-$U$16)+$U$17-(MIN(ABS(F$2),$R$25))*$R$23</f>
        <v>1050.1329594399999</v>
      </c>
      <c r="G27" s="68">
        <f t="shared" si="16"/>
        <v>1050.1329594399999</v>
      </c>
      <c r="H27" s="68">
        <f t="shared" si="16"/>
        <v>1050.1329594399999</v>
      </c>
      <c r="I27" s="68">
        <f t="shared" si="16"/>
        <v>1050.19695944</v>
      </c>
      <c r="J27" s="68">
        <f t="shared" si="16"/>
        <v>1050.3249594399999</v>
      </c>
      <c r="K27" s="68">
        <f t="shared" si="16"/>
        <v>1050.19695944</v>
      </c>
      <c r="L27" s="68">
        <f t="shared" si="16"/>
        <v>1050.1329594399999</v>
      </c>
      <c r="M27" s="68">
        <f t="shared" si="16"/>
        <v>1050.1329594399999</v>
      </c>
      <c r="N27" s="68">
        <f t="shared" si="16"/>
        <v>1050.1329594399999</v>
      </c>
      <c r="O27" s="15"/>
      <c r="Q27" s="6"/>
      <c r="W27" s="31"/>
      <c r="X27" s="27"/>
      <c r="Y27" s="30"/>
      <c r="Z27" s="27"/>
      <c r="AA27" s="30"/>
      <c r="AB27" s="27"/>
      <c r="AC27" s="30"/>
      <c r="AD27" s="27"/>
      <c r="AE27" s="30"/>
      <c r="AF27" s="27"/>
      <c r="AG27" s="30"/>
    </row>
    <row r="28" spans="2:33" x14ac:dyDescent="0.25">
      <c r="B28" s="111"/>
      <c r="C28" s="113">
        <v>0.6</v>
      </c>
      <c r="D28" s="3">
        <f>+$D$14+(C28)*(97.5)</f>
        <v>999.79</v>
      </c>
      <c r="F28" s="67">
        <f>$D28+F$2*TAN(RADIANS($R$24))</f>
        <v>999.79</v>
      </c>
      <c r="G28" s="67">
        <f>$D28+G$2*TAN(RADIANS($R$24))</f>
        <v>999.79</v>
      </c>
      <c r="H28" s="67">
        <f>$D28+H$2*TAN(RADIANS($R$24))</f>
        <v>999.79</v>
      </c>
      <c r="I28" s="67">
        <f>$D28+I$2*TAN(RADIANS($R$24))</f>
        <v>999.79</v>
      </c>
      <c r="J28" s="67">
        <f>$D28</f>
        <v>999.79</v>
      </c>
      <c r="K28" s="67">
        <f>$D28+K$2*TAN(RADIANS($R$24))</f>
        <v>999.79</v>
      </c>
      <c r="L28" s="67">
        <f>$D28+L$2*TAN(RADIANS($R$24))</f>
        <v>999.79</v>
      </c>
      <c r="M28" s="67">
        <f>$D28+M$2*TAN(RADIANS($R$24))</f>
        <v>999.79</v>
      </c>
      <c r="N28" s="67">
        <f>$D28+N$2*TAN(RADIANS($R$24))</f>
        <v>999.79</v>
      </c>
      <c r="O28" s="15"/>
      <c r="Q28" s="6"/>
      <c r="W28" s="31"/>
      <c r="X28" s="27"/>
      <c r="Y28" s="30"/>
      <c r="Z28" s="27"/>
      <c r="AA28" s="30"/>
      <c r="AB28" s="27"/>
      <c r="AC28" s="30"/>
      <c r="AD28" s="27"/>
      <c r="AE28" s="30"/>
      <c r="AF28" s="27"/>
      <c r="AG28" s="30"/>
    </row>
    <row r="29" spans="2:33" x14ac:dyDescent="0.25">
      <c r="B29" s="111"/>
      <c r="C29" s="113"/>
      <c r="D29" s="3"/>
      <c r="E29" s="14">
        <f>D30-D28</f>
        <v>6.5</v>
      </c>
      <c r="F29" s="68">
        <f t="shared" ref="F29:N29" si="17">+($R$21/2)*(F28-$U$16)^2+$R$19*(F28-$U$16)+$U$17-(MIN(ABS(F$2),$R$25))*$R$23</f>
        <v>1050.089664565</v>
      </c>
      <c r="G29" s="68">
        <f t="shared" si="17"/>
        <v>1050.089664565</v>
      </c>
      <c r="H29" s="68">
        <f t="shared" si="17"/>
        <v>1050.089664565</v>
      </c>
      <c r="I29" s="68">
        <f t="shared" si="17"/>
        <v>1050.1536645650001</v>
      </c>
      <c r="J29" s="68">
        <f t="shared" si="17"/>
        <v>1050.281664565</v>
      </c>
      <c r="K29" s="68">
        <f t="shared" si="17"/>
        <v>1050.1536645650001</v>
      </c>
      <c r="L29" s="68">
        <f t="shared" si="17"/>
        <v>1050.089664565</v>
      </c>
      <c r="M29" s="68">
        <f t="shared" si="17"/>
        <v>1050.089664565</v>
      </c>
      <c r="N29" s="68">
        <f t="shared" si="17"/>
        <v>1050.089664565</v>
      </c>
      <c r="O29" s="15"/>
      <c r="Q29" s="6"/>
      <c r="W29" s="31"/>
      <c r="X29" s="27"/>
      <c r="Y29" s="30"/>
      <c r="Z29" s="27"/>
      <c r="AA29" s="30"/>
      <c r="AB29" s="27"/>
      <c r="AC29" s="30"/>
      <c r="AD29" s="27"/>
      <c r="AE29" s="30"/>
      <c r="AF29" s="27"/>
      <c r="AG29" s="30"/>
    </row>
    <row r="30" spans="2:33" x14ac:dyDescent="0.25">
      <c r="B30" s="111"/>
      <c r="C30" s="113" t="s">
        <v>83</v>
      </c>
      <c r="D30" s="3">
        <f>D14+65</f>
        <v>1006.29</v>
      </c>
      <c r="E30" s="14"/>
      <c r="F30" s="67">
        <f>$D30+F$2*TAN(RADIANS($R$24))</f>
        <v>1006.29</v>
      </c>
      <c r="G30" s="67">
        <f>$D30+G$2*TAN(RADIANS($R$24))</f>
        <v>1006.29</v>
      </c>
      <c r="H30" s="67">
        <f>$D30+H$2*TAN(RADIANS($R$24))</f>
        <v>1006.29</v>
      </c>
      <c r="I30" s="67">
        <f>$D30+I$2*TAN(RADIANS($R$24))</f>
        <v>1006.29</v>
      </c>
      <c r="J30" s="67">
        <f>$D30</f>
        <v>1006.29</v>
      </c>
      <c r="K30" s="67">
        <f>$D30+K$2*TAN(RADIANS($R$24))</f>
        <v>1006.29</v>
      </c>
      <c r="L30" s="67">
        <f>$D30+L$2*TAN(RADIANS($R$24))</f>
        <v>1006.29</v>
      </c>
      <c r="M30" s="67">
        <f>$D30+M$2*TAN(RADIANS($R$24))</f>
        <v>1006.29</v>
      </c>
      <c r="N30" s="67">
        <f>$D30+N$2*TAN(RADIANS($R$24))</f>
        <v>1006.29</v>
      </c>
      <c r="O30" s="15"/>
      <c r="Q30" s="6"/>
      <c r="W30" s="31"/>
      <c r="X30" s="27"/>
      <c r="Y30" s="30"/>
      <c r="Z30" s="27"/>
      <c r="AA30" s="30"/>
      <c r="AB30" s="27"/>
      <c r="AC30" s="30"/>
      <c r="AD30" s="27"/>
      <c r="AE30" s="30"/>
      <c r="AF30" s="27"/>
      <c r="AG30" s="30"/>
    </row>
    <row r="31" spans="2:33" x14ac:dyDescent="0.25">
      <c r="B31" s="111"/>
      <c r="C31" s="113"/>
      <c r="D31" s="3"/>
      <c r="E31" s="14">
        <f>D32-D30</f>
        <v>3.25</v>
      </c>
      <c r="F31" s="68">
        <f t="shared" ref="F31:N31" si="18">+($R$21/2)*(F30-$U$16)^2+$R$19*(F30-$U$16)+$U$17-(MIN(ABS(F$2),$R$25))*$R$23</f>
        <v>1050.023832565</v>
      </c>
      <c r="G31" s="68">
        <f t="shared" si="18"/>
        <v>1050.023832565</v>
      </c>
      <c r="H31" s="68">
        <f t="shared" si="18"/>
        <v>1050.023832565</v>
      </c>
      <c r="I31" s="68">
        <f t="shared" si="18"/>
        <v>1050.0878325650001</v>
      </c>
      <c r="J31" s="68">
        <f t="shared" si="18"/>
        <v>1050.215832565</v>
      </c>
      <c r="K31" s="68">
        <f t="shared" si="18"/>
        <v>1050.0878325650001</v>
      </c>
      <c r="L31" s="68">
        <f t="shared" si="18"/>
        <v>1050.023832565</v>
      </c>
      <c r="M31" s="68">
        <f t="shared" si="18"/>
        <v>1050.023832565</v>
      </c>
      <c r="N31" s="68">
        <f t="shared" si="18"/>
        <v>1050.023832565</v>
      </c>
      <c r="O31" s="15"/>
      <c r="Q31" s="6"/>
      <c r="W31" s="31"/>
      <c r="X31" s="27"/>
      <c r="Y31" s="30"/>
      <c r="Z31" s="27"/>
      <c r="AA31" s="30"/>
      <c r="AB31" s="27"/>
      <c r="AC31" s="30"/>
      <c r="AD31" s="27"/>
      <c r="AE31" s="30"/>
      <c r="AF31" s="27"/>
      <c r="AG31" s="30"/>
    </row>
    <row r="32" spans="2:33" x14ac:dyDescent="0.25">
      <c r="B32" s="111"/>
      <c r="C32" s="113">
        <v>0.7</v>
      </c>
      <c r="D32" s="3">
        <f>+$D$14+(C32)*(97.5)</f>
        <v>1009.54</v>
      </c>
      <c r="F32" s="67">
        <f>$D32+F$2*TAN(RADIANS($R$24))</f>
        <v>1009.54</v>
      </c>
      <c r="G32" s="67">
        <f>$D32+G$2*TAN(RADIANS($R$24))</f>
        <v>1009.54</v>
      </c>
      <c r="H32" s="67">
        <f>$D32+H$2*TAN(RADIANS($R$24))</f>
        <v>1009.54</v>
      </c>
      <c r="I32" s="67">
        <f>$D32+I$2*TAN(RADIANS($R$24))</f>
        <v>1009.54</v>
      </c>
      <c r="J32" s="67">
        <f>$D32</f>
        <v>1009.54</v>
      </c>
      <c r="K32" s="67">
        <f>$D32+K$2*TAN(RADIANS($R$24))</f>
        <v>1009.54</v>
      </c>
      <c r="L32" s="67">
        <f>$D32+L$2*TAN(RADIANS($R$24))</f>
        <v>1009.54</v>
      </c>
      <c r="M32" s="67">
        <f>$D32+M$2*TAN(RADIANS($R$24))</f>
        <v>1009.54</v>
      </c>
      <c r="N32" s="67">
        <f>$D32+N$2*TAN(RADIANS($R$24))</f>
        <v>1009.54</v>
      </c>
      <c r="O32" s="15"/>
      <c r="Q32" s="6"/>
      <c r="W32" s="31"/>
      <c r="X32" s="27"/>
      <c r="Y32" s="30"/>
      <c r="Z32" s="27"/>
      <c r="AA32" s="30"/>
      <c r="AB32" s="27"/>
      <c r="AC32" s="30"/>
      <c r="AD32" s="27"/>
      <c r="AE32" s="30"/>
      <c r="AF32" s="27"/>
      <c r="AG32" s="30"/>
    </row>
    <row r="33" spans="2:44" x14ac:dyDescent="0.25">
      <c r="B33" s="111"/>
      <c r="C33" s="113"/>
      <c r="D33" s="3"/>
      <c r="E33" s="14">
        <f>D34-D32</f>
        <v>9.75</v>
      </c>
      <c r="F33" s="68">
        <f t="shared" ref="F33:N33" si="19">+($R$21/2)*(F32-$U$16)^2+$R$19*(F32-$U$16)+$U$17-(MIN(ABS(F$2),$R$25))*$R$23</f>
        <v>1049.97982594</v>
      </c>
      <c r="G33" s="68">
        <f t="shared" si="19"/>
        <v>1049.97982594</v>
      </c>
      <c r="H33" s="68">
        <f t="shared" si="19"/>
        <v>1049.97982594</v>
      </c>
      <c r="I33" s="68">
        <f t="shared" si="19"/>
        <v>1050.04382594</v>
      </c>
      <c r="J33" s="68">
        <f t="shared" si="19"/>
        <v>1050.17182594</v>
      </c>
      <c r="K33" s="68">
        <f t="shared" si="19"/>
        <v>1050.04382594</v>
      </c>
      <c r="L33" s="68">
        <f t="shared" si="19"/>
        <v>1049.97982594</v>
      </c>
      <c r="M33" s="68">
        <f t="shared" si="19"/>
        <v>1049.97982594</v>
      </c>
      <c r="N33" s="68">
        <f t="shared" si="19"/>
        <v>1049.97982594</v>
      </c>
      <c r="O33" s="15"/>
      <c r="Q33" s="6"/>
      <c r="W33" s="31"/>
      <c r="X33" s="27"/>
      <c r="Y33" s="30"/>
      <c r="Z33" s="27"/>
      <c r="AA33" s="30"/>
      <c r="AB33" s="27"/>
      <c r="AC33" s="30"/>
      <c r="AD33" s="27"/>
      <c r="AE33" s="30"/>
      <c r="AF33" s="27"/>
      <c r="AG33" s="30"/>
    </row>
    <row r="34" spans="2:44" x14ac:dyDescent="0.25">
      <c r="B34" s="111"/>
      <c r="C34" s="113">
        <v>0.8</v>
      </c>
      <c r="D34" s="3">
        <f>+$D$14+(C34)*(97.5)</f>
        <v>1019.29</v>
      </c>
      <c r="F34" s="67">
        <f>$D34+F$2*TAN(RADIANS($R$24))</f>
        <v>1019.29</v>
      </c>
      <c r="G34" s="67">
        <f>$D34+G$2*TAN(RADIANS($R$24))</f>
        <v>1019.29</v>
      </c>
      <c r="H34" s="67">
        <f>$D34+H$2*TAN(RADIANS($R$24))</f>
        <v>1019.29</v>
      </c>
      <c r="I34" s="67">
        <f>$D34+I$2*TAN(RADIANS($R$24))</f>
        <v>1019.29</v>
      </c>
      <c r="J34" s="67">
        <f>$D34</f>
        <v>1019.29</v>
      </c>
      <c r="K34" s="67">
        <f>$D34+K$2*TAN(RADIANS($R$24))</f>
        <v>1019.29</v>
      </c>
      <c r="L34" s="67">
        <f>$D34+L$2*TAN(RADIANS($R$24))</f>
        <v>1019.29</v>
      </c>
      <c r="M34" s="67">
        <f>$D34+M$2*TAN(RADIANS($R$24))</f>
        <v>1019.29</v>
      </c>
      <c r="N34" s="67">
        <f>$D34+N$2*TAN(RADIANS($R$24))</f>
        <v>1019.29</v>
      </c>
      <c r="O34" s="15"/>
      <c r="Q34" s="6"/>
      <c r="W34" s="31"/>
      <c r="X34" s="27"/>
      <c r="Y34" s="30"/>
      <c r="Z34" s="27"/>
      <c r="AA34" s="30"/>
      <c r="AB34" s="27"/>
      <c r="AC34" s="30"/>
      <c r="AD34" s="27"/>
      <c r="AE34" s="30"/>
      <c r="AF34" s="27"/>
      <c r="AG34" s="30"/>
    </row>
    <row r="35" spans="2:44" x14ac:dyDescent="0.25">
      <c r="B35" s="111"/>
      <c r="C35" s="113"/>
      <c r="D35" s="3"/>
      <c r="E35" s="14">
        <f>D36-D34</f>
        <v>9.75</v>
      </c>
      <c r="F35" s="68">
        <f t="shared" ref="F35:N35" si="20">+($R$21/2)*(F34-$U$16)^2+$R$19*(F34-$U$16)+$U$17-(MIN(ABS(F$2),$R$25))*$R$23</f>
        <v>1049.803443565</v>
      </c>
      <c r="G35" s="68">
        <f t="shared" si="20"/>
        <v>1049.803443565</v>
      </c>
      <c r="H35" s="68">
        <f t="shared" si="20"/>
        <v>1049.803443565</v>
      </c>
      <c r="I35" s="68">
        <f t="shared" si="20"/>
        <v>1049.867443565</v>
      </c>
      <c r="J35" s="68">
        <f t="shared" si="20"/>
        <v>1049.995443565</v>
      </c>
      <c r="K35" s="68">
        <f t="shared" si="20"/>
        <v>1049.867443565</v>
      </c>
      <c r="L35" s="68">
        <f t="shared" si="20"/>
        <v>1049.803443565</v>
      </c>
      <c r="M35" s="68">
        <f t="shared" si="20"/>
        <v>1049.803443565</v>
      </c>
      <c r="N35" s="68">
        <f t="shared" si="20"/>
        <v>1049.803443565</v>
      </c>
      <c r="O35" s="15"/>
      <c r="Q35" s="6"/>
      <c r="W35" s="31"/>
      <c r="X35" s="27"/>
      <c r="Y35" s="30"/>
      <c r="Z35" s="27"/>
      <c r="AA35" s="30"/>
      <c r="AB35" s="27"/>
      <c r="AC35" s="30"/>
      <c r="AD35" s="27"/>
      <c r="AE35" s="30"/>
      <c r="AF35" s="27"/>
      <c r="AG35" s="30"/>
    </row>
    <row r="36" spans="2:44" x14ac:dyDescent="0.25">
      <c r="B36" s="111"/>
      <c r="C36" s="113">
        <v>0.9</v>
      </c>
      <c r="D36" s="3">
        <f>+$D$14+(C36)*(97.5)</f>
        <v>1029.04</v>
      </c>
      <c r="F36" s="67">
        <f>$D36+F$2*TAN(RADIANS($R$24))</f>
        <v>1029.04</v>
      </c>
      <c r="G36" s="67">
        <f>$D36+G$2*TAN(RADIANS($R$24))</f>
        <v>1029.04</v>
      </c>
      <c r="H36" s="67">
        <f>$D36+H$2*TAN(RADIANS($R$24))</f>
        <v>1029.04</v>
      </c>
      <c r="I36" s="67">
        <f>$D36+I$2*TAN(RADIANS($R$24))</f>
        <v>1029.04</v>
      </c>
      <c r="J36" s="67">
        <f>$D36</f>
        <v>1029.04</v>
      </c>
      <c r="K36" s="67">
        <f>$D36+K$2*TAN(RADIANS($R$24))</f>
        <v>1029.04</v>
      </c>
      <c r="L36" s="67">
        <f>$D36+L$2*TAN(RADIANS($R$24))</f>
        <v>1029.04</v>
      </c>
      <c r="M36" s="67">
        <f>$D36+M$2*TAN(RADIANS($R$24))</f>
        <v>1029.04</v>
      </c>
      <c r="N36" s="67">
        <f>$D36+N$2*TAN(RADIANS($R$24))</f>
        <v>1029.04</v>
      </c>
      <c r="O36" s="15"/>
      <c r="Q36" s="6"/>
      <c r="W36" s="31"/>
      <c r="X36" s="27"/>
      <c r="Y36" s="30"/>
      <c r="Z36" s="27"/>
      <c r="AA36" s="30"/>
      <c r="AB36" s="27"/>
      <c r="AC36" s="30"/>
      <c r="AD36" s="27"/>
      <c r="AE36" s="30"/>
      <c r="AF36" s="27"/>
      <c r="AG36" s="30"/>
    </row>
    <row r="37" spans="2:44" x14ac:dyDescent="0.25">
      <c r="B37" s="111"/>
      <c r="C37" s="113"/>
      <c r="D37" s="3"/>
      <c r="E37" s="14">
        <f>D38-D36</f>
        <v>9.75</v>
      </c>
      <c r="F37" s="68">
        <f t="shared" ref="F37:N37" si="21">+($R$21/2)*(F36-$U$16)^2+$R$19*(F36-$U$16)+$U$17-(MIN(ABS(F$2),$R$25))*$R$23</f>
        <v>1049.56051744</v>
      </c>
      <c r="G37" s="68">
        <f t="shared" si="21"/>
        <v>1049.56051744</v>
      </c>
      <c r="H37" s="68">
        <f t="shared" si="21"/>
        <v>1049.56051744</v>
      </c>
      <c r="I37" s="68">
        <f t="shared" si="21"/>
        <v>1049.6245174400001</v>
      </c>
      <c r="J37" s="68">
        <f t="shared" si="21"/>
        <v>1049.75251744</v>
      </c>
      <c r="K37" s="68">
        <f t="shared" si="21"/>
        <v>1049.6245174400001</v>
      </c>
      <c r="L37" s="68">
        <f t="shared" si="21"/>
        <v>1049.56051744</v>
      </c>
      <c r="M37" s="68">
        <f t="shared" si="21"/>
        <v>1049.56051744</v>
      </c>
      <c r="N37" s="68">
        <f t="shared" si="21"/>
        <v>1049.56051744</v>
      </c>
      <c r="O37" s="15"/>
      <c r="Q37" s="6"/>
      <c r="W37" s="31"/>
      <c r="X37" s="27"/>
      <c r="Y37" s="30"/>
      <c r="Z37" s="27"/>
      <c r="AA37" s="30"/>
      <c r="AB37" s="27"/>
      <c r="AC37" s="30"/>
      <c r="AD37" s="27"/>
      <c r="AE37" s="30"/>
      <c r="AF37" s="27"/>
      <c r="AG37" s="30"/>
    </row>
    <row r="38" spans="2:44" ht="15" customHeight="1" x14ac:dyDescent="0.25">
      <c r="B38" s="111"/>
      <c r="C38" s="112" t="s">
        <v>67</v>
      </c>
      <c r="D38" s="3">
        <f>+$D$14+(1)*(97.5)</f>
        <v>1038.79</v>
      </c>
      <c r="F38" s="67">
        <f>$D38+F$2*TAN(RADIANS($R$24))</f>
        <v>1038.79</v>
      </c>
      <c r="G38" s="67">
        <f>$D38+G$2*TAN(RADIANS($R$24))</f>
        <v>1038.79</v>
      </c>
      <c r="H38" s="67">
        <f>$D38+H$2*TAN(RADIANS($R$24))</f>
        <v>1038.79</v>
      </c>
      <c r="I38" s="67">
        <f>$D38+I$2*TAN(RADIANS($R$24))</f>
        <v>1038.79</v>
      </c>
      <c r="J38" s="67">
        <f>$D38</f>
        <v>1038.79</v>
      </c>
      <c r="K38" s="67">
        <f>$D38+K$2*TAN(RADIANS($R$24))</f>
        <v>1038.79</v>
      </c>
      <c r="L38" s="67">
        <f>$D38+L$2*TAN(RADIANS($R$24))</f>
        <v>1038.79</v>
      </c>
      <c r="M38" s="67">
        <f>$D38+M$2*TAN(RADIANS($R$24))</f>
        <v>1038.79</v>
      </c>
      <c r="N38" s="67">
        <f>$D38+N$2*TAN(RADIANS($R$24))</f>
        <v>1038.79</v>
      </c>
      <c r="O38" s="15"/>
      <c r="W38" s="146"/>
      <c r="X38" s="28"/>
      <c r="Y38" s="30"/>
      <c r="Z38" s="30"/>
      <c r="AA38" s="30"/>
      <c r="AB38" s="30"/>
      <c r="AC38" s="30"/>
      <c r="AD38" s="30"/>
      <c r="AE38" s="30"/>
      <c r="AF38" s="30"/>
      <c r="AG38" s="30"/>
    </row>
    <row r="39" spans="2:44" x14ac:dyDescent="0.25">
      <c r="B39" s="111"/>
      <c r="C39" s="113"/>
      <c r="D39" s="3"/>
      <c r="E39" s="14">
        <f>D40-D38</f>
        <v>1.5</v>
      </c>
      <c r="F39" s="68">
        <f t="shared" ref="F39:N39" si="22">+($R$21/2)*(F38-$U$16)^2+$R$19*(F38-$U$16)+$U$17-(MIN(ABS(F$2),$R$25))*$R$23</f>
        <v>1049.2510475649999</v>
      </c>
      <c r="G39" s="68">
        <f t="shared" si="22"/>
        <v>1049.2510475649999</v>
      </c>
      <c r="H39" s="68">
        <f t="shared" si="22"/>
        <v>1049.2510475649999</v>
      </c>
      <c r="I39" s="68">
        <f t="shared" si="22"/>
        <v>1049.315047565</v>
      </c>
      <c r="J39" s="68">
        <f t="shared" si="22"/>
        <v>1049.4430475649999</v>
      </c>
      <c r="K39" s="68">
        <f t="shared" si="22"/>
        <v>1049.315047565</v>
      </c>
      <c r="L39" s="68">
        <f t="shared" si="22"/>
        <v>1049.2510475649999</v>
      </c>
      <c r="M39" s="68">
        <f t="shared" si="22"/>
        <v>1049.2510475649999</v>
      </c>
      <c r="N39" s="68">
        <f t="shared" si="22"/>
        <v>1049.2510475649999</v>
      </c>
      <c r="O39" s="15"/>
      <c r="W39" s="147"/>
      <c r="X39" s="27"/>
      <c r="Y39" s="30"/>
      <c r="Z39" s="27"/>
      <c r="AA39" s="30"/>
      <c r="AB39" s="30"/>
      <c r="AC39" s="30"/>
      <c r="AD39" s="30"/>
      <c r="AE39" s="30"/>
      <c r="AF39" s="30"/>
      <c r="AG39" s="30"/>
      <c r="AJ39" s="5"/>
      <c r="AL39" s="5"/>
      <c r="AN39" s="5"/>
      <c r="AP39" s="5"/>
      <c r="AR39" s="5"/>
    </row>
    <row r="40" spans="2:44" ht="15" customHeight="1" x14ac:dyDescent="0.25">
      <c r="B40" s="111" t="s">
        <v>66</v>
      </c>
      <c r="C40" s="112" t="s">
        <v>74</v>
      </c>
      <c r="D40" s="13">
        <v>1040.29</v>
      </c>
      <c r="F40" s="67">
        <f>$D40+F$2*TAN(RADIANS($R$24))</f>
        <v>1040.29</v>
      </c>
      <c r="G40" s="67">
        <f t="shared" ref="G40:N40" si="23">$D40+G$2*TAN(RADIANS($R$24))</f>
        <v>1040.29</v>
      </c>
      <c r="H40" s="67">
        <f t="shared" si="23"/>
        <v>1040.29</v>
      </c>
      <c r="I40" s="67">
        <f t="shared" si="23"/>
        <v>1040.29</v>
      </c>
      <c r="J40" s="67">
        <f t="shared" si="23"/>
        <v>1040.29</v>
      </c>
      <c r="K40" s="67">
        <f t="shared" si="23"/>
        <v>1040.29</v>
      </c>
      <c r="L40" s="67">
        <f t="shared" si="23"/>
        <v>1040.29</v>
      </c>
      <c r="M40" s="67">
        <f t="shared" si="23"/>
        <v>1040.29</v>
      </c>
      <c r="N40" s="67">
        <f t="shared" si="23"/>
        <v>1040.29</v>
      </c>
      <c r="O40" s="15"/>
      <c r="W40" s="59"/>
      <c r="X40" s="27"/>
      <c r="Y40" s="30"/>
      <c r="Z40" s="27"/>
      <c r="AA40" s="30"/>
      <c r="AB40" s="30"/>
      <c r="AC40" s="30"/>
      <c r="AD40" s="30"/>
      <c r="AE40" s="30"/>
      <c r="AF40" s="30"/>
      <c r="AG40" s="30"/>
      <c r="AJ40" s="5"/>
      <c r="AL40" s="5"/>
      <c r="AN40" s="5"/>
      <c r="AP40" s="5"/>
      <c r="AR40" s="5"/>
    </row>
    <row r="41" spans="2:44" x14ac:dyDescent="0.25">
      <c r="B41" s="111"/>
      <c r="C41" s="113"/>
      <c r="E41" s="14">
        <f>D42-D40</f>
        <v>6.5625</v>
      </c>
      <c r="F41" s="68">
        <f>+($R$21/2)*(F40-$U$16)^2+$R$19*(F40-$U$16)+$U$17-(MIN(ABS(F$2),$R$25))*$R$23</f>
        <v>1049.1975305649999</v>
      </c>
      <c r="G41" s="68">
        <f>+($R$21/2)*(G40-$U$16)^2+$R$19*(G40-$U$16)+$U$17-(MIN(ABS(G$2),$R$25))*$R$23</f>
        <v>1049.1975305649999</v>
      </c>
      <c r="H41" s="68">
        <f>+($R$21/2)*(H40-$U$16)^2+$R$19*(H40-$U$16)+$U$17-(MIN(ABS(H$2),$R$25))*$R$23</f>
        <v>1049.1975305649999</v>
      </c>
      <c r="I41" s="68">
        <f t="shared" ref="I41:N41" si="24">+($R$21/2)*(I40-$U$16)^2+$R$19*(I40-$U$16)+$U$17-(MIN(ABS(I$2),$R$25))*$R$23</f>
        <v>1049.2615305649999</v>
      </c>
      <c r="J41" s="68">
        <f t="shared" si="24"/>
        <v>1049.3895305649999</v>
      </c>
      <c r="K41" s="68">
        <f t="shared" si="24"/>
        <v>1049.2615305649999</v>
      </c>
      <c r="L41" s="68">
        <f t="shared" si="24"/>
        <v>1049.1975305649999</v>
      </c>
      <c r="M41" s="68">
        <f t="shared" si="24"/>
        <v>1049.1975305649999</v>
      </c>
      <c r="N41" s="68">
        <f t="shared" si="24"/>
        <v>1049.1975305649999</v>
      </c>
      <c r="O41" s="15"/>
      <c r="W41" s="59"/>
      <c r="X41" s="27"/>
      <c r="Y41" s="30"/>
      <c r="Z41" s="27"/>
      <c r="AA41" s="30"/>
      <c r="AB41" s="30"/>
      <c r="AC41" s="30"/>
      <c r="AD41" s="30"/>
      <c r="AE41" s="30"/>
      <c r="AF41" s="30"/>
      <c r="AG41" s="30"/>
      <c r="AJ41" s="5"/>
      <c r="AL41" s="5"/>
      <c r="AN41" s="5"/>
      <c r="AP41" s="5"/>
      <c r="AR41" s="5"/>
    </row>
    <row r="42" spans="2:44" x14ac:dyDescent="0.25">
      <c r="B42" s="111"/>
      <c r="C42" s="113">
        <v>0.25</v>
      </c>
      <c r="D42" s="3">
        <f>+$D$40+(C42)*(26.25)</f>
        <v>1046.8525</v>
      </c>
      <c r="E42" s="14"/>
      <c r="F42" s="67">
        <f>$D42+F$2*TAN(RADIANS($R$24))</f>
        <v>1046.8525</v>
      </c>
      <c r="G42" s="67">
        <f t="shared" ref="G42:N42" si="25">$D42+G$2*TAN(RADIANS($R$24))</f>
        <v>1046.8525</v>
      </c>
      <c r="H42" s="67">
        <f t="shared" si="25"/>
        <v>1046.8525</v>
      </c>
      <c r="I42" s="67">
        <f t="shared" si="25"/>
        <v>1046.8525</v>
      </c>
      <c r="J42" s="67">
        <f t="shared" si="25"/>
        <v>1046.8525</v>
      </c>
      <c r="K42" s="67">
        <f t="shared" si="25"/>
        <v>1046.8525</v>
      </c>
      <c r="L42" s="67">
        <f t="shared" si="25"/>
        <v>1046.8525</v>
      </c>
      <c r="M42" s="67">
        <f t="shared" si="25"/>
        <v>1046.8525</v>
      </c>
      <c r="N42" s="67">
        <f t="shared" si="25"/>
        <v>1046.8525</v>
      </c>
      <c r="O42" s="15"/>
      <c r="W42" s="59"/>
      <c r="X42" s="27"/>
      <c r="Y42" s="30"/>
      <c r="Z42" s="27"/>
      <c r="AA42" s="30"/>
      <c r="AB42" s="30"/>
      <c r="AC42" s="30"/>
      <c r="AD42" s="30"/>
      <c r="AE42" s="30"/>
      <c r="AF42" s="30"/>
      <c r="AG42" s="30"/>
      <c r="AJ42" s="5"/>
      <c r="AL42" s="5"/>
      <c r="AN42" s="5"/>
      <c r="AP42" s="5"/>
      <c r="AR42" s="5"/>
    </row>
    <row r="43" spans="2:44" x14ac:dyDescent="0.25">
      <c r="B43" s="111"/>
      <c r="C43" s="113"/>
      <c r="E43" s="14">
        <f>D44-D42</f>
        <v>6.5625</v>
      </c>
      <c r="F43" s="68">
        <f>+($R$21/2)*(F42-$U$16)^2+$R$19*(F42-$U$16)+$U$17-(MIN(ABS(F$2),$R$25))*$R$23</f>
        <v>1048.9448751353125</v>
      </c>
      <c r="G43" s="68">
        <f t="shared" ref="G43:N43" si="26">+($R$21/2)*(G42-$U$16)^2+$R$19*(G42-$U$16)+$U$17-(MIN(ABS(G$2),$R$25))*$R$23</f>
        <v>1048.9448751353125</v>
      </c>
      <c r="H43" s="68">
        <f t="shared" si="26"/>
        <v>1048.9448751353125</v>
      </c>
      <c r="I43" s="68">
        <f t="shared" si="26"/>
        <v>1049.0088751353126</v>
      </c>
      <c r="J43" s="68">
        <f t="shared" si="26"/>
        <v>1049.1368751353125</v>
      </c>
      <c r="K43" s="68">
        <f t="shared" si="26"/>
        <v>1049.0088751353126</v>
      </c>
      <c r="L43" s="68">
        <f t="shared" si="26"/>
        <v>1048.9448751353125</v>
      </c>
      <c r="M43" s="68">
        <f t="shared" si="26"/>
        <v>1048.9448751353125</v>
      </c>
      <c r="N43" s="68">
        <f t="shared" si="26"/>
        <v>1048.9448751353125</v>
      </c>
      <c r="O43" s="15"/>
      <c r="W43" s="59"/>
      <c r="X43" s="27"/>
      <c r="Y43" s="30"/>
      <c r="Z43" s="27"/>
      <c r="AA43" s="30"/>
      <c r="AB43" s="30"/>
      <c r="AC43" s="30"/>
      <c r="AD43" s="30"/>
      <c r="AE43" s="30"/>
      <c r="AF43" s="30"/>
      <c r="AG43" s="30"/>
      <c r="AJ43" s="5"/>
      <c r="AL43" s="5"/>
      <c r="AN43" s="5"/>
      <c r="AP43" s="5"/>
      <c r="AR43" s="5"/>
    </row>
    <row r="44" spans="2:44" x14ac:dyDescent="0.25">
      <c r="B44" s="111"/>
      <c r="C44" s="113">
        <v>0.5</v>
      </c>
      <c r="D44" s="3">
        <f>+$D$40+(C44)*(26.25)</f>
        <v>1053.415</v>
      </c>
      <c r="F44" s="67">
        <f>$D44+F$2*TAN(RADIANS($R$24))</f>
        <v>1053.415</v>
      </c>
      <c r="G44" s="67">
        <f t="shared" ref="G44:N44" si="27">$D44+G$2*TAN(RADIANS($R$24))</f>
        <v>1053.415</v>
      </c>
      <c r="H44" s="67">
        <f t="shared" si="27"/>
        <v>1053.415</v>
      </c>
      <c r="I44" s="67">
        <f t="shared" si="27"/>
        <v>1053.415</v>
      </c>
      <c r="J44" s="67">
        <f t="shared" si="27"/>
        <v>1053.415</v>
      </c>
      <c r="K44" s="67">
        <f t="shared" si="27"/>
        <v>1053.415</v>
      </c>
      <c r="L44" s="67">
        <f t="shared" si="27"/>
        <v>1053.415</v>
      </c>
      <c r="M44" s="67">
        <f t="shared" si="27"/>
        <v>1053.415</v>
      </c>
      <c r="N44" s="67">
        <f t="shared" si="27"/>
        <v>1053.415</v>
      </c>
      <c r="O44" s="15"/>
      <c r="W44" s="59"/>
      <c r="X44" s="27"/>
      <c r="Y44" s="30"/>
      <c r="Z44" s="27"/>
      <c r="AA44" s="30"/>
      <c r="AB44" s="30"/>
      <c r="AC44" s="30"/>
      <c r="AD44" s="30"/>
      <c r="AE44" s="30"/>
      <c r="AF44" s="30"/>
      <c r="AG44" s="30"/>
      <c r="AJ44" s="5"/>
      <c r="AL44" s="5"/>
      <c r="AN44" s="5"/>
      <c r="AP44" s="5"/>
      <c r="AR44" s="5"/>
    </row>
    <row r="45" spans="2:44" x14ac:dyDescent="0.25">
      <c r="B45" s="111"/>
      <c r="C45" s="113"/>
      <c r="E45" s="14">
        <f>D46-D44</f>
        <v>6.5625</v>
      </c>
      <c r="F45" s="68">
        <f>+($R$21/2)*(F44-$U$16)^2+$R$19*(F44-$U$16)+$U$17-(MIN(ABS(F$2),$R$25))*$R$23</f>
        <v>1048.66207322125</v>
      </c>
      <c r="G45" s="68">
        <f t="shared" ref="G45:N45" si="28">+($R$21/2)*(G44-$U$16)^2+$R$19*(G44-$U$16)+$U$17-(MIN(ABS(G$2),$R$25))*$R$23</f>
        <v>1048.66207322125</v>
      </c>
      <c r="H45" s="68">
        <f t="shared" si="28"/>
        <v>1048.66207322125</v>
      </c>
      <c r="I45" s="68">
        <f t="shared" si="28"/>
        <v>1048.7260732212501</v>
      </c>
      <c r="J45" s="68">
        <f t="shared" si="28"/>
        <v>1048.85407322125</v>
      </c>
      <c r="K45" s="68">
        <f t="shared" si="28"/>
        <v>1048.7260732212501</v>
      </c>
      <c r="L45" s="68">
        <f t="shared" si="28"/>
        <v>1048.66207322125</v>
      </c>
      <c r="M45" s="68">
        <f t="shared" si="28"/>
        <v>1048.66207322125</v>
      </c>
      <c r="N45" s="68">
        <f t="shared" si="28"/>
        <v>1048.66207322125</v>
      </c>
      <c r="O45" s="15"/>
      <c r="W45" s="59"/>
      <c r="X45" s="27"/>
      <c r="Y45" s="30"/>
      <c r="Z45" s="27"/>
      <c r="AA45" s="30"/>
      <c r="AB45" s="30"/>
      <c r="AC45" s="30"/>
      <c r="AD45" s="30"/>
      <c r="AE45" s="30"/>
      <c r="AF45" s="30"/>
      <c r="AG45" s="30"/>
      <c r="AJ45" s="5"/>
      <c r="AL45" s="5"/>
      <c r="AN45" s="5"/>
      <c r="AP45" s="5"/>
      <c r="AR45" s="5"/>
    </row>
    <row r="46" spans="2:44" x14ac:dyDescent="0.25">
      <c r="B46" s="111"/>
      <c r="C46" s="113">
        <v>0.75</v>
      </c>
      <c r="D46" s="3">
        <f>+$D$40+(C46)*(26.25)</f>
        <v>1059.9775</v>
      </c>
      <c r="F46" s="67">
        <f>$D46+F$2*TAN(RADIANS($R$24))</f>
        <v>1059.9775</v>
      </c>
      <c r="G46" s="67">
        <f t="shared" ref="G46:N46" si="29">$D46+G$2*TAN(RADIANS($R$24))</f>
        <v>1059.9775</v>
      </c>
      <c r="H46" s="67">
        <f t="shared" si="29"/>
        <v>1059.9775</v>
      </c>
      <c r="I46" s="67">
        <f t="shared" si="29"/>
        <v>1059.9775</v>
      </c>
      <c r="J46" s="67">
        <f t="shared" si="29"/>
        <v>1059.9775</v>
      </c>
      <c r="K46" s="67">
        <f t="shared" si="29"/>
        <v>1059.9775</v>
      </c>
      <c r="L46" s="67">
        <f t="shared" si="29"/>
        <v>1059.9775</v>
      </c>
      <c r="M46" s="67">
        <f t="shared" si="29"/>
        <v>1059.9775</v>
      </c>
      <c r="N46" s="67">
        <f t="shared" si="29"/>
        <v>1059.9775</v>
      </c>
      <c r="O46" s="15"/>
      <c r="W46" s="59"/>
      <c r="X46" s="27"/>
      <c r="Y46" s="30"/>
      <c r="Z46" s="27"/>
      <c r="AA46" s="30"/>
      <c r="AB46" s="30"/>
      <c r="AC46" s="30"/>
      <c r="AD46" s="30"/>
      <c r="AE46" s="30"/>
      <c r="AF46" s="30"/>
      <c r="AG46" s="30"/>
      <c r="AJ46" s="5"/>
      <c r="AL46" s="5"/>
      <c r="AN46" s="5"/>
      <c r="AP46" s="5"/>
      <c r="AR46" s="5"/>
    </row>
    <row r="47" spans="2:44" x14ac:dyDescent="0.25">
      <c r="B47" s="111"/>
      <c r="C47" s="113"/>
      <c r="E47" s="14">
        <f>D48-D46</f>
        <v>6.5625</v>
      </c>
      <c r="F47" s="68">
        <f>+($R$21/2)*(F46-$U$16)^2+$R$19*(F46-$U$16)+$U$17-(MIN(ABS(F$2),$R$25))*$R$23</f>
        <v>1048.3491248228124</v>
      </c>
      <c r="G47" s="68">
        <f t="shared" ref="G47:N47" si="30">+($R$21/2)*(G46-$U$16)^2+$R$19*(G46-$U$16)+$U$17-(MIN(ABS(G$2),$R$25))*$R$23</f>
        <v>1048.3491248228124</v>
      </c>
      <c r="H47" s="68">
        <f t="shared" si="30"/>
        <v>1048.3491248228124</v>
      </c>
      <c r="I47" s="68">
        <f t="shared" si="30"/>
        <v>1048.4131248228125</v>
      </c>
      <c r="J47" s="68">
        <f t="shared" si="30"/>
        <v>1048.5411248228124</v>
      </c>
      <c r="K47" s="68">
        <f t="shared" si="30"/>
        <v>1048.4131248228125</v>
      </c>
      <c r="L47" s="68">
        <f t="shared" si="30"/>
        <v>1048.3491248228124</v>
      </c>
      <c r="M47" s="68">
        <f t="shared" si="30"/>
        <v>1048.3491248228124</v>
      </c>
      <c r="N47" s="68">
        <f t="shared" si="30"/>
        <v>1048.3491248228124</v>
      </c>
      <c r="O47" s="15"/>
      <c r="W47" s="59"/>
      <c r="X47" s="27"/>
      <c r="Y47" s="30"/>
      <c r="Z47" s="27"/>
      <c r="AA47" s="30"/>
      <c r="AB47" s="30"/>
      <c r="AC47" s="30"/>
      <c r="AD47" s="30"/>
      <c r="AE47" s="30"/>
      <c r="AF47" s="30"/>
      <c r="AG47" s="30"/>
      <c r="AJ47" s="5"/>
      <c r="AL47" s="5"/>
      <c r="AN47" s="5"/>
      <c r="AP47" s="5"/>
      <c r="AR47" s="5"/>
    </row>
    <row r="48" spans="2:44" ht="15" customHeight="1" x14ac:dyDescent="0.25">
      <c r="B48" s="111"/>
      <c r="C48" s="112" t="s">
        <v>73</v>
      </c>
      <c r="D48" s="3">
        <f>+$D$40+(1)*(26.25)</f>
        <v>1066.54</v>
      </c>
      <c r="F48" s="67">
        <f>$D48+F$2*TAN(RADIANS($R$24))</f>
        <v>1066.54</v>
      </c>
      <c r="G48" s="67">
        <f t="shared" ref="G48:N48" si="31">$D48+G$2*TAN(RADIANS($R$24))</f>
        <v>1066.54</v>
      </c>
      <c r="H48" s="67">
        <f t="shared" si="31"/>
        <v>1066.54</v>
      </c>
      <c r="I48" s="67">
        <f t="shared" si="31"/>
        <v>1066.54</v>
      </c>
      <c r="J48" s="67">
        <f t="shared" si="31"/>
        <v>1066.54</v>
      </c>
      <c r="K48" s="67">
        <f t="shared" si="31"/>
        <v>1066.54</v>
      </c>
      <c r="L48" s="67">
        <f t="shared" si="31"/>
        <v>1066.54</v>
      </c>
      <c r="M48" s="67">
        <f t="shared" si="31"/>
        <v>1066.54</v>
      </c>
      <c r="N48" s="67">
        <f t="shared" si="31"/>
        <v>1066.54</v>
      </c>
      <c r="O48" s="15"/>
      <c r="W48" s="59"/>
      <c r="X48" s="27"/>
      <c r="Y48" s="30"/>
      <c r="Z48" s="27"/>
      <c r="AA48" s="30"/>
      <c r="AB48" s="30"/>
      <c r="AC48" s="30"/>
      <c r="AD48" s="30"/>
      <c r="AE48" s="30"/>
      <c r="AF48" s="30"/>
      <c r="AG48" s="30"/>
      <c r="AJ48" s="5"/>
      <c r="AL48" s="5"/>
      <c r="AN48" s="5"/>
      <c r="AP48" s="5"/>
      <c r="AR48" s="5"/>
    </row>
    <row r="49" spans="2:44" x14ac:dyDescent="0.25">
      <c r="B49" s="111"/>
      <c r="C49" s="113"/>
      <c r="F49" s="68">
        <f>+($R$21/2)*(F48-$U$16)^2+$R$19*(F48-$U$16)+$U$17-(MIN(ABS(F$2),$R$25))*$R$23</f>
        <v>1048.00602994</v>
      </c>
      <c r="G49" s="68">
        <f t="shared" ref="G49:N49" si="32">+($R$21/2)*(G48-$U$16)^2+$R$19*(G48-$U$16)+$U$17-(MIN(ABS(G$2),$R$25))*$R$23</f>
        <v>1048.00602994</v>
      </c>
      <c r="H49" s="68">
        <f t="shared" si="32"/>
        <v>1048.00602994</v>
      </c>
      <c r="I49" s="68">
        <f t="shared" si="32"/>
        <v>1048.07002994</v>
      </c>
      <c r="J49" s="68">
        <f t="shared" si="32"/>
        <v>1048.19802994</v>
      </c>
      <c r="K49" s="68">
        <f t="shared" si="32"/>
        <v>1048.07002994</v>
      </c>
      <c r="L49" s="68">
        <f t="shared" si="32"/>
        <v>1048.00602994</v>
      </c>
      <c r="M49" s="68">
        <f t="shared" si="32"/>
        <v>1048.00602994</v>
      </c>
      <c r="N49" s="68">
        <f t="shared" si="32"/>
        <v>1048.00602994</v>
      </c>
      <c r="O49" s="15"/>
      <c r="W49" s="59"/>
      <c r="X49" s="27"/>
      <c r="Y49" s="30"/>
      <c r="Z49" s="27"/>
      <c r="AA49" s="30"/>
      <c r="AB49" s="30"/>
      <c r="AC49" s="30"/>
      <c r="AD49" s="30"/>
      <c r="AE49" s="30"/>
      <c r="AF49" s="30"/>
      <c r="AG49" s="30"/>
      <c r="AJ49" s="5"/>
      <c r="AL49" s="5"/>
      <c r="AN49" s="5"/>
      <c r="AP49" s="5"/>
      <c r="AR49" s="5"/>
    </row>
    <row r="50" spans="2:44" x14ac:dyDescent="0.25">
      <c r="B50" s="69"/>
      <c r="C50" s="59"/>
      <c r="D50" s="3"/>
      <c r="E50" s="14"/>
      <c r="F50" s="48"/>
      <c r="G50" s="48"/>
      <c r="H50" s="48"/>
      <c r="I50" s="48"/>
      <c r="J50" s="48"/>
      <c r="K50" s="48"/>
      <c r="L50" s="48"/>
      <c r="M50" s="48"/>
      <c r="N50" s="48"/>
      <c r="O50" s="15"/>
      <c r="W50" s="59"/>
      <c r="X50" s="27"/>
      <c r="Y50" s="30"/>
      <c r="Z50" s="27"/>
      <c r="AA50" s="30"/>
      <c r="AB50" s="30"/>
      <c r="AC50" s="30"/>
      <c r="AD50" s="30"/>
      <c r="AE50" s="30"/>
      <c r="AF50" s="30"/>
      <c r="AG50" s="30"/>
      <c r="AJ50" s="5"/>
      <c r="AL50" s="5"/>
      <c r="AN50" s="5"/>
      <c r="AP50" s="5"/>
      <c r="AR50" s="5"/>
    </row>
    <row r="51" spans="2:44" x14ac:dyDescent="0.25">
      <c r="H51" s="66">
        <v>19.166599999999999</v>
      </c>
      <c r="I51" s="66">
        <v>12</v>
      </c>
      <c r="J51" s="66">
        <v>0</v>
      </c>
      <c r="K51" s="66">
        <v>12</v>
      </c>
      <c r="L51" s="66">
        <v>19.166599999999999</v>
      </c>
      <c r="X51" s="144"/>
      <c r="Y51" s="145"/>
      <c r="Z51" s="144"/>
      <c r="AA51" s="145"/>
      <c r="AB51" s="144"/>
      <c r="AC51" s="145"/>
      <c r="AD51" s="144"/>
      <c r="AE51" s="145"/>
      <c r="AF51" s="144"/>
      <c r="AG51" s="145"/>
    </row>
    <row r="52" spans="2:44" x14ac:dyDescent="0.25">
      <c r="G52"/>
      <c r="H52" s="71"/>
      <c r="I52" s="153" t="s">
        <v>27</v>
      </c>
      <c r="J52" s="153"/>
      <c r="K52" s="153"/>
      <c r="L52" s="72"/>
      <c r="M52"/>
      <c r="N52"/>
      <c r="X52" s="144"/>
      <c r="Y52" s="145"/>
      <c r="Z52" s="144"/>
      <c r="AA52" s="145"/>
      <c r="AB52" s="144"/>
      <c r="AC52" s="145"/>
      <c r="AD52" s="144"/>
      <c r="AE52" s="145"/>
      <c r="AF52" s="144"/>
      <c r="AG52" s="145"/>
    </row>
    <row r="53" spans="2:44" ht="51.75" thickBot="1" x14ac:dyDescent="0.3">
      <c r="G53" s="16"/>
      <c r="H53" s="33" t="s">
        <v>54</v>
      </c>
      <c r="I53" s="33" t="s">
        <v>56</v>
      </c>
      <c r="J53" s="33" t="s">
        <v>24</v>
      </c>
      <c r="K53" s="33" t="s">
        <v>68</v>
      </c>
      <c r="L53" s="33" t="s">
        <v>55</v>
      </c>
      <c r="M53" s="16"/>
      <c r="X53" s="144"/>
      <c r="Y53" s="145"/>
      <c r="Z53" s="144"/>
      <c r="AA53" s="145"/>
      <c r="AB53" s="144"/>
      <c r="AC53" s="145"/>
      <c r="AD53" s="144"/>
      <c r="AE53" s="145"/>
      <c r="AF53" s="144"/>
      <c r="AG53" s="145"/>
    </row>
    <row r="54" spans="2:44" x14ac:dyDescent="0.25">
      <c r="F54" s="154" t="s">
        <v>28</v>
      </c>
      <c r="G54" s="155"/>
      <c r="H54" s="67">
        <f>I54</f>
        <v>882.54</v>
      </c>
      <c r="I54" s="67">
        <f>J54</f>
        <v>882.54</v>
      </c>
      <c r="J54" s="67">
        <v>882.54</v>
      </c>
      <c r="K54" s="67">
        <f>J54</f>
        <v>882.54</v>
      </c>
      <c r="L54" s="67">
        <f>K54</f>
        <v>882.54</v>
      </c>
      <c r="X54" s="144"/>
      <c r="Y54" s="145"/>
      <c r="Z54" s="144"/>
      <c r="AA54" s="145"/>
      <c r="AB54" s="144"/>
      <c r="AC54" s="145"/>
      <c r="AD54" s="144"/>
      <c r="AE54" s="145"/>
      <c r="AF54" s="144"/>
      <c r="AG54" s="145"/>
    </row>
    <row r="55" spans="2:44" x14ac:dyDescent="0.25">
      <c r="F55" s="149"/>
      <c r="G55" s="150"/>
      <c r="H55" s="68">
        <f>$R$19*(H54-$U$16)+$U$17-(MIN(ABS(H$51),$R$25))*$R$23</f>
        <v>1046.30548</v>
      </c>
      <c r="I55" s="68">
        <f>$R$19*(I54-$U$16)+$U$17-(MIN(ABS(I$51),$R$25))*$R$23</f>
        <v>1046.30548</v>
      </c>
      <c r="J55" s="68">
        <f>$R$19*(J54-$U$16)+$U$17-(MIN(ABS(J$51),$R$25))*$R$23</f>
        <v>1046.49748</v>
      </c>
      <c r="K55" s="68">
        <f>$R$19*(K54-$U$16)+$U$17-(MIN(ABS(K$51),$R$25))*$R$23</f>
        <v>1046.30548</v>
      </c>
      <c r="L55" s="68">
        <f>$R$19*(L54-$U$16)+$U$17-(MIN(ABS(L$51),$R$25))*$R$23</f>
        <v>1046.30548</v>
      </c>
      <c r="X55" s="144"/>
      <c r="Y55" s="145"/>
      <c r="Z55" s="144"/>
      <c r="AA55" s="145"/>
      <c r="AB55" s="144"/>
      <c r="AC55" s="145"/>
      <c r="AD55" s="144"/>
      <c r="AE55" s="145"/>
      <c r="AF55" s="144"/>
      <c r="AG55" s="145"/>
    </row>
    <row r="56" spans="2:44" x14ac:dyDescent="0.25">
      <c r="F56" s="149" t="s">
        <v>29</v>
      </c>
      <c r="G56" s="150"/>
      <c r="H56" s="67">
        <f>I56</f>
        <v>912.54</v>
      </c>
      <c r="I56" s="67">
        <f>J56</f>
        <v>912.54</v>
      </c>
      <c r="J56" s="67">
        <v>912.54</v>
      </c>
      <c r="K56" s="67">
        <f>J56</f>
        <v>912.54</v>
      </c>
      <c r="L56" s="67">
        <f>K56</f>
        <v>912.54</v>
      </c>
      <c r="X56" s="144"/>
      <c r="Y56" s="145"/>
      <c r="Z56" s="144"/>
      <c r="AA56" s="145"/>
      <c r="AB56" s="144"/>
      <c r="AC56" s="145"/>
      <c r="AD56" s="144"/>
      <c r="AE56" s="145"/>
      <c r="AF56" s="144"/>
      <c r="AG56" s="145"/>
    </row>
    <row r="57" spans="2:44" x14ac:dyDescent="0.25">
      <c r="F57" s="149"/>
      <c r="G57" s="150"/>
      <c r="H57" s="68">
        <f>+($R$21/2)*(H56-$U$16)^2+$R$19*(H56-$U$16)+$U$17-(MIN(ABS(H$51),$R$25))*$R$23</f>
        <v>1048.1104419399999</v>
      </c>
      <c r="I57" s="68">
        <f>+($R$21/2)*(I56-$U$16)^2+$R$19*(I56-$U$16)+$U$17-(MIN(ABS(I$51),$R$25))*$R$23</f>
        <v>1048.1104419399999</v>
      </c>
      <c r="J57" s="68">
        <f>+($R$21/2)*(J56-$U$16)^2+$R$19*(J56-$U$16)+$U$17-(MIN(ABS(J$51),$R$25))*$R$23</f>
        <v>1048.3024419399999</v>
      </c>
      <c r="K57" s="68">
        <f>+($R$21/2)*(K56-$U$16)^2+$R$19*(K56-$U$16)+$U$17-(MIN(ABS(K$51),$R$25))*$R$23</f>
        <v>1048.1104419399999</v>
      </c>
      <c r="L57" s="68">
        <f>+($R$21/2)*(L56-$U$16)^2+$R$19*(L56-$U$16)+$U$17-(MIN(ABS(L$51),$R$25))*$R$23</f>
        <v>1048.1104419399999</v>
      </c>
      <c r="X57" s="144"/>
      <c r="Y57" s="145"/>
      <c r="Z57" s="144"/>
      <c r="AA57" s="145"/>
      <c r="AB57" s="144"/>
      <c r="AC57" s="145"/>
      <c r="AD57" s="144"/>
      <c r="AE57" s="145"/>
      <c r="AF57" s="144"/>
      <c r="AG57" s="145"/>
    </row>
    <row r="58" spans="2:44" x14ac:dyDescent="0.25">
      <c r="F58" s="149" t="s">
        <v>30</v>
      </c>
      <c r="G58" s="150"/>
      <c r="H58" s="67">
        <f>I58</f>
        <v>1067.54</v>
      </c>
      <c r="I58" s="67">
        <f>J58</f>
        <v>1067.54</v>
      </c>
      <c r="J58" s="67">
        <v>1067.54</v>
      </c>
      <c r="K58" s="67">
        <f>J58</f>
        <v>1067.54</v>
      </c>
      <c r="L58" s="67">
        <f>K58</f>
        <v>1067.54</v>
      </c>
      <c r="X58" s="144"/>
      <c r="Y58" s="145"/>
      <c r="Z58" s="144"/>
      <c r="AA58" s="145"/>
      <c r="AB58" s="144"/>
      <c r="AC58" s="145"/>
      <c r="AD58" s="144"/>
      <c r="AE58" s="145"/>
      <c r="AF58" s="144"/>
      <c r="AG58" s="145"/>
    </row>
    <row r="59" spans="2:44" x14ac:dyDescent="0.25">
      <c r="F59" s="149"/>
      <c r="G59" s="150"/>
      <c r="H59" s="68">
        <f>+($R$21/2)*(H58-$U$16)^2+$R$19*(H58-$U$16)+$U$17-(MIN(ABS(H$51),$R$25))*$R$23</f>
        <v>1047.9511019399999</v>
      </c>
      <c r="I59" s="68">
        <f>+($R$21/2)*(I58-$U$16)^2+$R$19*(I58-$U$16)+$U$17-(MIN(ABS(I$51),$R$25))*$R$23</f>
        <v>1047.9511019399999</v>
      </c>
      <c r="J59" s="68">
        <f>+($R$21/2)*(J58-$U$16)^2+$R$19*(J58-$U$16)+$U$17-(MIN(ABS(J$51),$R$25))*$R$23</f>
        <v>1048.14310194</v>
      </c>
      <c r="K59" s="68">
        <f>+($R$21/2)*(K58-$U$16)^2+$R$19*(K58-$U$16)+$U$17-(MIN(ABS(K$51),$R$25))*$R$23</f>
        <v>1047.9511019399999</v>
      </c>
      <c r="L59" s="68">
        <f>+($R$21/2)*(L58-$U$16)^2+$R$19*(L58-$U$16)+$U$17-(MIN(ABS(L$51),$R$25))*$R$23</f>
        <v>1047.9511019399999</v>
      </c>
      <c r="X59" s="144"/>
      <c r="Y59" s="145"/>
      <c r="Z59" s="144"/>
      <c r="AA59" s="145"/>
      <c r="AB59" s="144"/>
      <c r="AC59" s="145"/>
      <c r="AD59" s="144"/>
      <c r="AE59" s="145"/>
      <c r="AF59" s="144"/>
      <c r="AG59" s="145"/>
    </row>
    <row r="60" spans="2:44" ht="30" x14ac:dyDescent="0.25">
      <c r="D60" s="83" t="s">
        <v>114</v>
      </c>
      <c r="F60" s="149" t="s">
        <v>31</v>
      </c>
      <c r="G60" s="150"/>
      <c r="H60" s="67">
        <f>I60</f>
        <v>1087.54</v>
      </c>
      <c r="I60" s="67">
        <f>J60</f>
        <v>1087.54</v>
      </c>
      <c r="J60" s="67">
        <v>1087.54</v>
      </c>
      <c r="K60" s="67">
        <f>J60</f>
        <v>1087.54</v>
      </c>
      <c r="L60" s="67">
        <f>K60</f>
        <v>1087.54</v>
      </c>
      <c r="X60" s="144"/>
      <c r="Y60" s="145"/>
      <c r="Z60" s="144"/>
      <c r="AA60" s="145"/>
      <c r="AB60" s="144"/>
      <c r="AC60" s="145"/>
      <c r="AD60" s="144"/>
      <c r="AE60" s="145"/>
      <c r="AF60" s="144"/>
      <c r="AG60" s="145"/>
    </row>
    <row r="61" spans="2:44" ht="15.75" thickBot="1" x14ac:dyDescent="0.3">
      <c r="F61" s="151"/>
      <c r="G61" s="152"/>
      <c r="H61" s="68"/>
      <c r="I61" s="68" t="s">
        <v>69</v>
      </c>
      <c r="J61" s="68">
        <f>+($R$21/2)*(J60-$U$16)^2+$R$19*(J60-$U$16)+$U$17-(MIN(ABS(J$51),$R$25))*$R$23</f>
        <v>1046.8975419399999</v>
      </c>
      <c r="K61" s="68" t="s">
        <v>69</v>
      </c>
      <c r="L61" s="68"/>
      <c r="X61" s="144"/>
      <c r="Y61" s="145"/>
      <c r="Z61" s="144"/>
      <c r="AA61" s="145"/>
      <c r="AB61" s="144"/>
      <c r="AC61" s="145"/>
      <c r="AD61" s="144"/>
      <c r="AE61" s="145"/>
      <c r="AF61" s="144"/>
      <c r="AG61" s="145"/>
    </row>
    <row r="62" spans="2:44" x14ac:dyDescent="0.25">
      <c r="X62" s="144"/>
      <c r="Y62" s="145"/>
      <c r="Z62" s="144"/>
      <c r="AA62" s="145"/>
      <c r="AB62" s="144"/>
      <c r="AC62" s="145"/>
      <c r="AD62" s="144"/>
      <c r="AE62" s="145"/>
      <c r="AF62" s="144"/>
      <c r="AG62" s="145"/>
    </row>
    <row r="63" spans="2:44" x14ac:dyDescent="0.25">
      <c r="X63" s="144"/>
      <c r="Y63" s="145"/>
      <c r="Z63" s="144"/>
      <c r="AA63" s="145"/>
      <c r="AB63" s="144"/>
      <c r="AC63" s="145"/>
      <c r="AD63" s="144"/>
      <c r="AE63" s="145"/>
      <c r="AF63" s="144"/>
      <c r="AG63" s="145"/>
    </row>
    <row r="64" spans="2:44" x14ac:dyDescent="0.25">
      <c r="D64" s="36" t="s">
        <v>37</v>
      </c>
    </row>
    <row r="65" spans="2:13" x14ac:dyDescent="0.25">
      <c r="B65" s="71"/>
      <c r="C65" s="71"/>
      <c r="D65" s="72"/>
      <c r="E65" s="71"/>
      <c r="F65" s="66"/>
      <c r="G65" s="33" t="s">
        <v>60</v>
      </c>
      <c r="H65" s="33"/>
      <c r="I65" s="33" t="s">
        <v>61</v>
      </c>
      <c r="J65" s="33" t="s">
        <v>70</v>
      </c>
      <c r="K65" s="33" t="s">
        <v>71</v>
      </c>
      <c r="L65" s="33"/>
      <c r="M65" s="33" t="s">
        <v>63</v>
      </c>
    </row>
    <row r="66" spans="2:13" ht="30" customHeight="1" x14ac:dyDescent="0.25">
      <c r="B66" s="111" t="s">
        <v>22</v>
      </c>
      <c r="C66" s="114" t="str">
        <f>C4</f>
        <v>CL BRG. R.A.</v>
      </c>
      <c r="D66" s="80" t="s">
        <v>38</v>
      </c>
      <c r="E66" s="71"/>
      <c r="F66" s="66"/>
      <c r="G66" s="68">
        <f>(((G$5-G$13)/(G$4-G$12))*(G4-G$4))+G$5</f>
        <v>1048.1633139399999</v>
      </c>
      <c r="H66" s="33"/>
      <c r="I66" s="68">
        <f>(((I$5-I$13)/(I$4-I$12))*(I4-I$4))+I$5</f>
        <v>1048.2273139399999</v>
      </c>
      <c r="J66" s="68">
        <f>(((J$5-J$13)/(J$4-J$12))*(J4-J$4))+J$5</f>
        <v>1048.3553139399999</v>
      </c>
      <c r="K66" s="68">
        <f>(((K$5-K$13)/(K$4-K$12))*(K4-K$4))+K$5</f>
        <v>1048.2273139399999</v>
      </c>
      <c r="L66" s="33"/>
      <c r="M66" s="68">
        <f>(((M$5-M$13)/(M$4-M$12))*(M4-M$4))+M$5</f>
        <v>1048.1633139399999</v>
      </c>
    </row>
    <row r="67" spans="2:13" ht="30" customHeight="1" x14ac:dyDescent="0.25">
      <c r="B67" s="111"/>
      <c r="C67" s="114"/>
      <c r="D67" s="80" t="s">
        <v>39</v>
      </c>
      <c r="E67" s="71"/>
      <c r="F67" s="66"/>
      <c r="G67" s="70">
        <f>G5-G66</f>
        <v>0</v>
      </c>
      <c r="H67" s="33"/>
      <c r="I67" s="70">
        <f>I5-I66</f>
        <v>0</v>
      </c>
      <c r="J67" s="70">
        <f>J5-J66</f>
        <v>0</v>
      </c>
      <c r="K67" s="70">
        <f>K5-K66</f>
        <v>0</v>
      </c>
      <c r="L67" s="33"/>
      <c r="M67" s="70">
        <f>M5-M66</f>
        <v>0</v>
      </c>
    </row>
    <row r="68" spans="2:13" ht="30" customHeight="1" x14ac:dyDescent="0.25">
      <c r="B68" s="111"/>
      <c r="C68" s="114">
        <f>C6</f>
        <v>0.25</v>
      </c>
      <c r="D68" s="80" t="s">
        <v>38</v>
      </c>
      <c r="E68" s="71"/>
      <c r="F68" s="66"/>
      <c r="G68" s="68">
        <f>(((G$5-G$13)/(G$4-G$12))*(G6-G$4))+G$5</f>
        <v>1048.4476965962499</v>
      </c>
      <c r="H68" s="33"/>
      <c r="I68" s="68">
        <f>(((I$5-I$13)/(I$4-I$12))*(I6-I$4))+I$5</f>
        <v>1048.51169659625</v>
      </c>
      <c r="J68" s="68">
        <f>(((J$5-J$13)/(J$4-J$12))*(J6-J$4))+J$5</f>
        <v>1048.6396965962499</v>
      </c>
      <c r="K68" s="68">
        <f>(((K$5-K$13)/(K$4-K$12))*(K6-K$4))+K$5</f>
        <v>1048.51169659625</v>
      </c>
      <c r="L68" s="33"/>
      <c r="M68" s="68">
        <f>(((M$5-M$13)/(M$4-M$12))*(M6-M$4))+M$5</f>
        <v>1048.4476965962499</v>
      </c>
    </row>
    <row r="69" spans="2:13" ht="30" customHeight="1" x14ac:dyDescent="0.25">
      <c r="B69" s="111"/>
      <c r="C69" s="114"/>
      <c r="D69" s="80" t="s">
        <v>39</v>
      </c>
      <c r="E69" s="71"/>
      <c r="F69" s="66"/>
      <c r="G69" s="70">
        <f>G7-G68</f>
        <v>4.5219726562436335E-2</v>
      </c>
      <c r="H69" s="33"/>
      <c r="I69" s="70">
        <f>I7-I68</f>
        <v>4.5219726562436335E-2</v>
      </c>
      <c r="J69" s="70">
        <f>J7-J68</f>
        <v>4.5219726562436335E-2</v>
      </c>
      <c r="K69" s="70">
        <f>K7-K68</f>
        <v>4.5219726562436335E-2</v>
      </c>
      <c r="L69" s="70"/>
      <c r="M69" s="70">
        <f>M7-M68</f>
        <v>4.5219726562436335E-2</v>
      </c>
    </row>
    <row r="70" spans="2:13" ht="30" customHeight="1" x14ac:dyDescent="0.25">
      <c r="B70" s="111"/>
      <c r="C70" s="114">
        <f>C8</f>
        <v>0.5</v>
      </c>
      <c r="D70" s="80" t="s">
        <v>38</v>
      </c>
      <c r="E70" s="71"/>
      <c r="F70" s="66"/>
      <c r="G70" s="68">
        <f>(((G$5-G$13)/(G$4-G$12))*(G8-G$4))+G$5</f>
        <v>1048.7320792524997</v>
      </c>
      <c r="H70" s="33"/>
      <c r="I70" s="68">
        <f>(((I$5-I$13)/(I$4-I$12))*(I8-I$4))+I$5</f>
        <v>1048.7960792525</v>
      </c>
      <c r="J70" s="68">
        <f>(((J$5-J$13)/(J$4-J$12))*(J8-J$4))+J$5</f>
        <v>1048.9240792524997</v>
      </c>
      <c r="K70" s="68">
        <f>(((K$5-K$13)/(K$4-K$12))*(K8-K$4))+K$5</f>
        <v>1048.7960792525</v>
      </c>
      <c r="L70" s="33"/>
      <c r="M70" s="68">
        <f>(((M$5-M$13)/(M$4-M$12))*(M8-M$4))+M$5</f>
        <v>1048.7320792524997</v>
      </c>
    </row>
    <row r="71" spans="2:13" ht="30" customHeight="1" x14ac:dyDescent="0.25">
      <c r="B71" s="111"/>
      <c r="C71" s="114"/>
      <c r="D71" s="80" t="s">
        <v>39</v>
      </c>
      <c r="E71" s="71"/>
      <c r="F71" s="66"/>
      <c r="G71" s="70">
        <f>G9-G70</f>
        <v>6.0292968750218279E-2</v>
      </c>
      <c r="H71" s="33"/>
      <c r="I71" s="70">
        <f>I9-I70</f>
        <v>6.0292968749990905E-2</v>
      </c>
      <c r="J71" s="70">
        <f>J9-J70</f>
        <v>6.0292968750218279E-2</v>
      </c>
      <c r="K71" s="70">
        <f>K9-K70</f>
        <v>6.0292968749990905E-2</v>
      </c>
      <c r="L71" s="33"/>
      <c r="M71" s="70">
        <f>M9-M70</f>
        <v>6.0292968750218279E-2</v>
      </c>
    </row>
    <row r="72" spans="2:13" ht="30" customHeight="1" x14ac:dyDescent="0.25">
      <c r="B72" s="111"/>
      <c r="C72" s="114">
        <f>C10</f>
        <v>0.75</v>
      </c>
      <c r="D72" s="80" t="s">
        <v>38</v>
      </c>
      <c r="E72" s="71"/>
      <c r="F72" s="66"/>
      <c r="G72" s="68">
        <f>(((G$5-G$13)/(G$4-G$12))*(G10-G$4))+G$5</f>
        <v>1049.0164619087498</v>
      </c>
      <c r="H72" s="33"/>
      <c r="I72" s="68">
        <f>(((I$5-I$13)/(I$4-I$12))*(I10-I$4))+I$5</f>
        <v>1049.0804619087498</v>
      </c>
      <c r="J72" s="68">
        <f>(((J$5-J$13)/(J$4-J$12))*(J10-J$4))+J$5</f>
        <v>1049.2084619087498</v>
      </c>
      <c r="K72" s="68">
        <f>(((K$5-K$13)/(K$4-K$12))*(K10-K$4))+K$5</f>
        <v>1049.0804619087498</v>
      </c>
      <c r="L72" s="33"/>
      <c r="M72" s="68">
        <f>(((M$5-M$13)/(M$4-M$12))*(M10-M$4))+M$5</f>
        <v>1049.0164619087498</v>
      </c>
    </row>
    <row r="73" spans="2:13" ht="30" customHeight="1" x14ac:dyDescent="0.25">
      <c r="B73" s="111"/>
      <c r="C73" s="114"/>
      <c r="D73" s="80" t="s">
        <v>39</v>
      </c>
      <c r="E73" s="71"/>
      <c r="F73" s="66"/>
      <c r="G73" s="70">
        <f>G11-G72</f>
        <v>4.5219726562663709E-2</v>
      </c>
      <c r="H73" s="33"/>
      <c r="I73" s="70">
        <f>I11-I72</f>
        <v>4.5219726562663709E-2</v>
      </c>
      <c r="J73" s="70">
        <f>J11-J72</f>
        <v>4.5219726562663709E-2</v>
      </c>
      <c r="K73" s="70">
        <f>K11-K72</f>
        <v>4.5219726562663709E-2</v>
      </c>
      <c r="L73" s="33"/>
      <c r="M73" s="70">
        <f>M11-M72</f>
        <v>4.5219726562663709E-2</v>
      </c>
    </row>
    <row r="74" spans="2:13" ht="30" customHeight="1" x14ac:dyDescent="0.25">
      <c r="B74" s="111"/>
      <c r="C74" s="114" t="str">
        <f>C12</f>
        <v>CL REAR BRG. PIER 1</v>
      </c>
      <c r="D74" s="80" t="s">
        <v>38</v>
      </c>
      <c r="E74" s="71"/>
      <c r="F74" s="66"/>
      <c r="G74" s="68">
        <f>(((G$5-G$13)/(G$4-G$12))*(G12-G$4))+G$5</f>
        <v>1049.3008445649998</v>
      </c>
      <c r="H74" s="33"/>
      <c r="I74" s="68">
        <f>(((I$5-I$13)/(I$4-I$12))*(I12-I$4))+I$5</f>
        <v>1049.3648445649999</v>
      </c>
      <c r="J74" s="68">
        <f>(((J$5-J$13)/(J$4-J$12))*(J12-J$4))+J$5</f>
        <v>1049.4928445649998</v>
      </c>
      <c r="K74" s="68">
        <f>(((K$5-K$13)/(K$4-K$12))*(K12-K$4))+K$5</f>
        <v>1049.3648445649999</v>
      </c>
      <c r="L74" s="33"/>
      <c r="M74" s="68">
        <f>(((M$5-M$13)/(M$4-M$12))*(M12-M$4))+M$5</f>
        <v>1049.3008445649998</v>
      </c>
    </row>
    <row r="75" spans="2:13" ht="30" customHeight="1" x14ac:dyDescent="0.25">
      <c r="B75" s="111"/>
      <c r="C75" s="114"/>
      <c r="D75" s="80" t="s">
        <v>39</v>
      </c>
      <c r="E75" s="71"/>
      <c r="F75" s="66"/>
      <c r="G75" s="70">
        <f>G13-G74</f>
        <v>0</v>
      </c>
      <c r="H75" s="33"/>
      <c r="I75" s="70">
        <f>I13-I74</f>
        <v>0</v>
      </c>
      <c r="J75" s="70">
        <f>J13-J74</f>
        <v>0</v>
      </c>
      <c r="K75" s="70">
        <f>K13-K74</f>
        <v>0</v>
      </c>
      <c r="L75" s="33"/>
      <c r="M75" s="70">
        <f>M13-M74</f>
        <v>0</v>
      </c>
    </row>
    <row r="76" spans="2:13" ht="30" customHeight="1" x14ac:dyDescent="0.25">
      <c r="B76" s="111" t="s">
        <v>58</v>
      </c>
      <c r="C76" s="114" t="str">
        <f>C14</f>
        <v>CL FWD BRG. PIER 1</v>
      </c>
      <c r="D76" s="80" t="s">
        <v>38</v>
      </c>
      <c r="E76" s="71"/>
      <c r="F76" s="66"/>
      <c r="G76" s="68">
        <f>(((G$15-G$39)/(G$14-G$38))*(G14-G$14))+G$15</f>
        <v>1049.3512775649999</v>
      </c>
      <c r="H76" s="68"/>
      <c r="I76" s="68">
        <f>(((I$15-I$39)/(I$14-I$38))*(I14-I$14))+I$15</f>
        <v>1049.415277565</v>
      </c>
      <c r="J76" s="68">
        <f>(((J$15-J$39)/(J$14-J$38))*(J14-J$14))+J$15</f>
        <v>1049.5432775649999</v>
      </c>
      <c r="K76" s="68">
        <f>(((K$15-K$39)/(K$14-K$38))*(K14-K$14))+K$15</f>
        <v>1049.415277565</v>
      </c>
      <c r="L76" s="68"/>
      <c r="M76" s="68">
        <f>(((M$15-M$39)/(M$14-M$38))*(M14-M$14))+M$15</f>
        <v>1049.3512775649999</v>
      </c>
    </row>
    <row r="77" spans="2:13" ht="30" customHeight="1" x14ac:dyDescent="0.25">
      <c r="B77" s="111"/>
      <c r="C77" s="114"/>
      <c r="D77" s="80" t="s">
        <v>39</v>
      </c>
      <c r="E77" s="71"/>
      <c r="F77" s="66"/>
      <c r="G77" s="70">
        <f>G15-G76</f>
        <v>0</v>
      </c>
      <c r="H77" s="70"/>
      <c r="I77" s="70">
        <f>I15-I76</f>
        <v>0</v>
      </c>
      <c r="J77" s="70">
        <f>J15-J76</f>
        <v>0</v>
      </c>
      <c r="K77" s="70">
        <f>K15-K76</f>
        <v>0</v>
      </c>
      <c r="L77" s="70"/>
      <c r="M77" s="70">
        <f>M15-M76</f>
        <v>0</v>
      </c>
    </row>
    <row r="78" spans="2:13" ht="30" customHeight="1" x14ac:dyDescent="0.25">
      <c r="B78" s="111"/>
      <c r="C78" s="114">
        <f>C16</f>
        <v>0.1</v>
      </c>
      <c r="D78" s="80" t="s">
        <v>38</v>
      </c>
      <c r="E78" s="71"/>
      <c r="F78" s="66"/>
      <c r="G78" s="68">
        <f>(((G$15-G$39)/(G$14-G$38))*(G16-G$14))+G$15</f>
        <v>1049.3412545649999</v>
      </c>
      <c r="H78" s="68"/>
      <c r="I78" s="68">
        <f>(((I$15-I$39)/(I$14-I$38))*(I16-I$14))+I$15</f>
        <v>1049.405254565</v>
      </c>
      <c r="J78" s="68">
        <f>(((J$15-J$39)/(J$14-J$38))*(J16-J$14))+J$15</f>
        <v>1049.5332545649999</v>
      </c>
      <c r="K78" s="68">
        <f>(((K$15-K$39)/(K$14-K$38))*(K16-K$14))+K$15</f>
        <v>1049.405254565</v>
      </c>
      <c r="L78" s="68"/>
      <c r="M78" s="68">
        <f>(((M$15-M$39)/(M$14-M$38))*(M16-M$14))+M$15</f>
        <v>1049.3412545649999</v>
      </c>
    </row>
    <row r="79" spans="2:13" ht="30" customHeight="1" x14ac:dyDescent="0.25">
      <c r="B79" s="111"/>
      <c r="C79" s="114"/>
      <c r="D79" s="80" t="s">
        <v>39</v>
      </c>
      <c r="E79" s="71"/>
      <c r="F79" s="66"/>
      <c r="G79" s="70">
        <f>G17-G78</f>
        <v>0.29944687500005784</v>
      </c>
      <c r="H79" s="70"/>
      <c r="I79" s="70">
        <f>I17-I78</f>
        <v>0.29944687500005784</v>
      </c>
      <c r="J79" s="70">
        <f>J17-J78</f>
        <v>0.29944687500005784</v>
      </c>
      <c r="K79" s="70">
        <f>K17-K78</f>
        <v>0.29944687500005784</v>
      </c>
      <c r="L79" s="70"/>
      <c r="M79" s="70">
        <f>M17-M78</f>
        <v>0.29944687500005784</v>
      </c>
    </row>
    <row r="80" spans="2:13" ht="30" customHeight="1" x14ac:dyDescent="0.25">
      <c r="B80" s="111"/>
      <c r="C80" s="114">
        <f>C18</f>
        <v>0.2</v>
      </c>
      <c r="D80" s="80" t="s">
        <v>38</v>
      </c>
      <c r="E80" s="71"/>
      <c r="F80" s="66"/>
      <c r="G80" s="68">
        <f>(((G$15-G$39)/(G$14-G$38))*(G18-G$14))+G$15</f>
        <v>1049.3312315649998</v>
      </c>
      <c r="H80" s="68"/>
      <c r="I80" s="68">
        <f>(((I$15-I$39)/(I$14-I$38))*(I18-I$14))+I$15</f>
        <v>1049.3952315649999</v>
      </c>
      <c r="J80" s="68">
        <f>(((J$15-J$39)/(J$14-J$38))*(J18-J$14))+J$15</f>
        <v>1049.5232315649998</v>
      </c>
      <c r="K80" s="68">
        <f>(((K$15-K$39)/(K$14-K$38))*(K18-K$14))+K$15</f>
        <v>1049.3952315649999</v>
      </c>
      <c r="L80" s="68"/>
      <c r="M80" s="68">
        <f>(((M$15-M$39)/(M$14-M$38))*(M18-M$14))+M$15</f>
        <v>1049.3312315649998</v>
      </c>
    </row>
    <row r="81" spans="2:13" ht="30" customHeight="1" x14ac:dyDescent="0.25">
      <c r="B81" s="111"/>
      <c r="C81" s="114"/>
      <c r="D81" s="80" t="s">
        <v>39</v>
      </c>
      <c r="E81" s="71"/>
      <c r="F81" s="66"/>
      <c r="G81" s="70">
        <f>G19-G80</f>
        <v>0.53235000000017862</v>
      </c>
      <c r="H81" s="70"/>
      <c r="I81" s="70">
        <f>I19-I80</f>
        <v>0.53235000000017862</v>
      </c>
      <c r="J81" s="70">
        <f>J19-J80</f>
        <v>0.53235000000017862</v>
      </c>
      <c r="K81" s="70">
        <f>K19-K80</f>
        <v>0.53235000000017862</v>
      </c>
      <c r="L81" s="70"/>
      <c r="M81" s="70">
        <f>M19-M80</f>
        <v>0.53235000000017862</v>
      </c>
    </row>
    <row r="82" spans="2:13" ht="30" customHeight="1" x14ac:dyDescent="0.25">
      <c r="B82" s="111"/>
      <c r="C82" s="114">
        <f>C20</f>
        <v>0.3</v>
      </c>
      <c r="D82" s="80" t="s">
        <v>38</v>
      </c>
      <c r="E82" s="71"/>
      <c r="F82" s="66"/>
      <c r="G82" s="68">
        <f>(((G$15-G$39)/(G$14-G$38))*(G20-G$14))+G$15</f>
        <v>1049.321208565</v>
      </c>
      <c r="H82" s="68"/>
      <c r="I82" s="68">
        <f>(((I$15-I$39)/(I$14-I$38))*(I20-I$14))+I$15</f>
        <v>1049.3852085650001</v>
      </c>
      <c r="J82" s="68">
        <f>(((J$15-J$39)/(J$14-J$38))*(J20-J$14))+J$15</f>
        <v>1049.513208565</v>
      </c>
      <c r="K82" s="68">
        <f>(((K$15-K$39)/(K$14-K$38))*(K20-K$14))+K$15</f>
        <v>1049.3852085650001</v>
      </c>
      <c r="L82" s="68"/>
      <c r="M82" s="68">
        <f>(((M$15-M$39)/(M$14-M$38))*(M20-M$14))+M$15</f>
        <v>1049.321208565</v>
      </c>
    </row>
    <row r="83" spans="2:13" ht="30" customHeight="1" x14ac:dyDescent="0.25">
      <c r="B83" s="111"/>
      <c r="C83" s="114"/>
      <c r="D83" s="80" t="s">
        <v>39</v>
      </c>
      <c r="E83" s="71"/>
      <c r="F83" s="66"/>
      <c r="G83" s="70">
        <f>G21-G82</f>
        <v>0.6987093749999076</v>
      </c>
      <c r="H83" s="70"/>
      <c r="I83" s="70">
        <f>I21-I82</f>
        <v>0.6987093749999076</v>
      </c>
      <c r="J83" s="70">
        <f>J21-J82</f>
        <v>0.6987093749999076</v>
      </c>
      <c r="K83" s="70">
        <f>K21-K82</f>
        <v>0.6987093749999076</v>
      </c>
      <c r="L83" s="70"/>
      <c r="M83" s="70">
        <f>M21-M82</f>
        <v>0.6987093749999076</v>
      </c>
    </row>
    <row r="84" spans="2:13" ht="30" customHeight="1" x14ac:dyDescent="0.25">
      <c r="B84" s="111"/>
      <c r="C84" s="113" t="s">
        <v>75</v>
      </c>
      <c r="D84" s="80" t="s">
        <v>38</v>
      </c>
      <c r="E84" s="71"/>
      <c r="F84" s="66"/>
      <c r="G84" s="68">
        <f>(((G$15-G$39)/(G$14-G$38))*(G22-G$14))+G$15</f>
        <v>1049.3178675649999</v>
      </c>
      <c r="H84" s="70"/>
      <c r="I84" s="68">
        <f>(((I$15-I$39)/(I$14-I$38))*(I22-I$14))+I$15</f>
        <v>1049.381867565</v>
      </c>
      <c r="J84" s="68">
        <f>(((J$15-J$39)/(J$14-J$38))*(J22-J$14))+J$15</f>
        <v>1049.5098675649999</v>
      </c>
      <c r="K84" s="68">
        <f>(((K$15-K$39)/(K$14-K$38))*(K22-K$14))+K$15</f>
        <v>1049.381867565</v>
      </c>
      <c r="L84" s="70"/>
      <c r="M84" s="68">
        <f>(((M$15-M$39)/(M$14-M$38))*(M22-M$14))+M$15</f>
        <v>1049.3178675649999</v>
      </c>
    </row>
    <row r="85" spans="2:13" ht="30" customHeight="1" x14ac:dyDescent="0.25">
      <c r="B85" s="111"/>
      <c r="C85" s="113"/>
      <c r="D85" s="80" t="s">
        <v>39</v>
      </c>
      <c r="E85" s="71"/>
      <c r="F85" s="66"/>
      <c r="G85" s="70">
        <f>G23-G84</f>
        <v>0.73937500000010914</v>
      </c>
      <c r="H85" s="70"/>
      <c r="I85" s="70">
        <f>I23-I84</f>
        <v>0.73937500000010914</v>
      </c>
      <c r="J85" s="70">
        <f>J23-J84</f>
        <v>0.73937500000010914</v>
      </c>
      <c r="K85" s="70">
        <f>K23-K84</f>
        <v>0.73937500000010914</v>
      </c>
      <c r="L85" s="70"/>
      <c r="M85" s="70">
        <f>M23-M84</f>
        <v>0.73937500000010914</v>
      </c>
    </row>
    <row r="86" spans="2:13" ht="30" customHeight="1" x14ac:dyDescent="0.25">
      <c r="B86" s="111"/>
      <c r="C86" s="114">
        <f>C24</f>
        <v>0.4</v>
      </c>
      <c r="D86" s="80" t="s">
        <v>38</v>
      </c>
      <c r="E86" s="71"/>
      <c r="F86" s="66"/>
      <c r="G86" s="68">
        <f>(((G$15-G$39)/(G$14-G$38))*(G24-G$14))+G$15</f>
        <v>1049.311185565</v>
      </c>
      <c r="H86" s="68"/>
      <c r="I86" s="68">
        <f>(((I$15-I$39)/(I$14-I$38))*(I24-I$14))+I$15</f>
        <v>1049.375185565</v>
      </c>
      <c r="J86" s="68">
        <f>(((J$15-J$39)/(J$14-J$38))*(J24-J$14))+J$15</f>
        <v>1049.503185565</v>
      </c>
      <c r="K86" s="68">
        <f>(((K$15-K$39)/(K$14-K$38))*(K24-K$14))+K$15</f>
        <v>1049.375185565</v>
      </c>
      <c r="L86" s="68"/>
      <c r="M86" s="68">
        <f>(((M$15-M$39)/(M$14-M$38))*(M24-M$14))+M$15</f>
        <v>1049.311185565</v>
      </c>
    </row>
    <row r="87" spans="2:13" ht="30" customHeight="1" x14ac:dyDescent="0.25">
      <c r="B87" s="111"/>
      <c r="C87" s="114"/>
      <c r="D87" s="80" t="s">
        <v>39</v>
      </c>
      <c r="E87" s="71"/>
      <c r="F87" s="66"/>
      <c r="G87" s="70">
        <f>G25-G86</f>
        <v>0.79852499999992688</v>
      </c>
      <c r="H87" s="70"/>
      <c r="I87" s="70">
        <f>I25-I86</f>
        <v>0.79852499999992688</v>
      </c>
      <c r="J87" s="70">
        <f>J25-J86</f>
        <v>0.79852499999992688</v>
      </c>
      <c r="K87" s="70">
        <f>K25-K86</f>
        <v>0.79852499999992688</v>
      </c>
      <c r="L87" s="70"/>
      <c r="M87" s="70">
        <f>M25-M86</f>
        <v>0.79852499999992688</v>
      </c>
    </row>
    <row r="88" spans="2:13" ht="30" customHeight="1" x14ac:dyDescent="0.25">
      <c r="B88" s="111"/>
      <c r="C88" s="114">
        <f>C26</f>
        <v>0.5</v>
      </c>
      <c r="D88" s="80" t="s">
        <v>38</v>
      </c>
      <c r="E88" s="71"/>
      <c r="F88" s="66"/>
      <c r="G88" s="68">
        <f>(((G$15-G$39)/(G$14-G$38))*(G26-G$14))+G$15</f>
        <v>1049.3011625649999</v>
      </c>
      <c r="H88" s="68"/>
      <c r="I88" s="68">
        <f>(((I$15-I$39)/(I$14-I$38))*(I26-I$14))+I$15</f>
        <v>1049.365162565</v>
      </c>
      <c r="J88" s="68">
        <f>(((J$15-J$39)/(J$14-J$38))*(J26-J$14))+J$15</f>
        <v>1049.4931625649999</v>
      </c>
      <c r="K88" s="68">
        <f>(((K$15-K$39)/(K$14-K$38))*(K26-K$14))+K$15</f>
        <v>1049.365162565</v>
      </c>
      <c r="L88" s="68"/>
      <c r="M88" s="68">
        <f>(((M$15-M$39)/(M$14-M$38))*(M26-M$14))+M$15</f>
        <v>1049.3011625649999</v>
      </c>
    </row>
    <row r="89" spans="2:13" ht="30" customHeight="1" x14ac:dyDescent="0.25">
      <c r="B89" s="111"/>
      <c r="C89" s="114"/>
      <c r="D89" s="80" t="s">
        <v>39</v>
      </c>
      <c r="E89" s="71"/>
      <c r="F89" s="66"/>
      <c r="G89" s="70">
        <f>G27-G88</f>
        <v>0.83179687500000909</v>
      </c>
      <c r="H89" s="70"/>
      <c r="I89" s="70">
        <f>I27-I88</f>
        <v>0.83179687500000909</v>
      </c>
      <c r="J89" s="70">
        <f>J27-J88</f>
        <v>0.83179687500000909</v>
      </c>
      <c r="K89" s="70">
        <f>K27-K88</f>
        <v>0.83179687500000909</v>
      </c>
      <c r="L89" s="70"/>
      <c r="M89" s="70">
        <f>M27-M88</f>
        <v>0.83179687500000909</v>
      </c>
    </row>
    <row r="90" spans="2:13" ht="30" customHeight="1" x14ac:dyDescent="0.25">
      <c r="B90" s="111"/>
      <c r="C90" s="114">
        <f>C28</f>
        <v>0.6</v>
      </c>
      <c r="D90" s="80" t="s">
        <v>38</v>
      </c>
      <c r="E90" s="71"/>
      <c r="F90" s="66"/>
      <c r="G90" s="68">
        <f>(((G$15-G$39)/(G$14-G$38))*(G28-G$14))+G$15</f>
        <v>1049.2911395649999</v>
      </c>
      <c r="H90" s="68"/>
      <c r="I90" s="68">
        <f>(((I$15-I$39)/(I$14-I$38))*(I28-I$14))+I$15</f>
        <v>1049.3551395649999</v>
      </c>
      <c r="J90" s="68">
        <f>(((J$15-J$39)/(J$14-J$38))*(J28-J$14))+J$15</f>
        <v>1049.4831395649999</v>
      </c>
      <c r="K90" s="68">
        <f>(((K$15-K$39)/(K$14-K$38))*(K28-K$14))+K$15</f>
        <v>1049.3551395649999</v>
      </c>
      <c r="L90" s="68"/>
      <c r="M90" s="68">
        <f>(((M$15-M$39)/(M$14-M$38))*(M28-M$14))+M$15</f>
        <v>1049.2911395649999</v>
      </c>
    </row>
    <row r="91" spans="2:13" ht="30" customHeight="1" x14ac:dyDescent="0.25">
      <c r="B91" s="111"/>
      <c r="C91" s="114"/>
      <c r="D91" s="80" t="s">
        <v>39</v>
      </c>
      <c r="E91" s="71"/>
      <c r="F91" s="66"/>
      <c r="G91" s="70">
        <f>G29-G90</f>
        <v>0.79852500000015425</v>
      </c>
      <c r="H91" s="70"/>
      <c r="I91" s="70">
        <f>I29-I90</f>
        <v>0.79852500000015425</v>
      </c>
      <c r="J91" s="70">
        <f>J29-J90</f>
        <v>0.79852500000015425</v>
      </c>
      <c r="K91" s="70">
        <f>K29-K90</f>
        <v>0.79852500000015425</v>
      </c>
      <c r="L91" s="70"/>
      <c r="M91" s="70">
        <f>M29-M90</f>
        <v>0.79852500000015425</v>
      </c>
    </row>
    <row r="92" spans="2:13" ht="30" customHeight="1" x14ac:dyDescent="0.25">
      <c r="B92" s="111"/>
      <c r="C92" s="113" t="s">
        <v>76</v>
      </c>
      <c r="D92" s="80" t="s">
        <v>38</v>
      </c>
      <c r="E92" s="71"/>
      <c r="F92" s="66"/>
      <c r="G92" s="68">
        <f>(((G$15-G$39)/(G$14-G$38))*(G30-G$14))+G$15</f>
        <v>1049.2844575649999</v>
      </c>
      <c r="H92" s="70"/>
      <c r="I92" s="68">
        <f>(((I$15-I$39)/(I$14-I$38))*(I30-I$14))+I$15</f>
        <v>1049.348457565</v>
      </c>
      <c r="J92" s="68">
        <f>(((J$15-J$39)/(J$14-J$38))*(J30-J$14))+J$15</f>
        <v>1049.4764575649999</v>
      </c>
      <c r="K92" s="68">
        <f>(((K$15-K$39)/(K$14-K$38))*(K30-K$14))+K$15</f>
        <v>1049.348457565</v>
      </c>
      <c r="L92" s="70"/>
      <c r="M92" s="68">
        <f>(((M$15-M$39)/(M$14-M$38))*(M30-M$14))+M$15</f>
        <v>1049.2844575649999</v>
      </c>
    </row>
    <row r="93" spans="2:13" ht="30" customHeight="1" x14ac:dyDescent="0.25">
      <c r="B93" s="111"/>
      <c r="C93" s="113"/>
      <c r="D93" s="80" t="s">
        <v>39</v>
      </c>
      <c r="E93" s="71"/>
      <c r="F93" s="66"/>
      <c r="G93" s="70">
        <f>G31-G92</f>
        <v>0.73937500000010914</v>
      </c>
      <c r="H93" s="70"/>
      <c r="I93" s="70">
        <f>I31-I92</f>
        <v>0.73937500000010914</v>
      </c>
      <c r="J93" s="70">
        <f>J31-J92</f>
        <v>0.73937500000010914</v>
      </c>
      <c r="K93" s="70">
        <f>K31-K92</f>
        <v>0.73937500000010914</v>
      </c>
      <c r="L93" s="70"/>
      <c r="M93" s="70">
        <f>M31-M92</f>
        <v>0.73937500000010914</v>
      </c>
    </row>
    <row r="94" spans="2:13" ht="30" customHeight="1" x14ac:dyDescent="0.25">
      <c r="B94" s="111"/>
      <c r="C94" s="114">
        <f>C32</f>
        <v>0.7</v>
      </c>
      <c r="D94" s="80" t="s">
        <v>38</v>
      </c>
      <c r="E94" s="71"/>
      <c r="F94" s="66"/>
      <c r="G94" s="68">
        <f>(((G$15-G$39)/(G$14-G$38))*(G32-G$14))+G$15</f>
        <v>1049.2811165649998</v>
      </c>
      <c r="H94" s="68"/>
      <c r="I94" s="68">
        <f>(((I$15-I$39)/(I$14-I$38))*(I32-I$14))+I$15</f>
        <v>1049.3451165649999</v>
      </c>
      <c r="J94" s="68">
        <f>(((J$15-J$39)/(J$14-J$38))*(J32-J$14))+J$15</f>
        <v>1049.4731165649998</v>
      </c>
      <c r="K94" s="68">
        <f>(((K$15-K$39)/(K$14-K$38))*(K32-K$14))+K$15</f>
        <v>1049.3451165649999</v>
      </c>
      <c r="L94" s="68"/>
      <c r="M94" s="68">
        <f>(((M$15-M$39)/(M$14-M$38))*(M32-M$14))+M$15</f>
        <v>1049.2811165649998</v>
      </c>
    </row>
    <row r="95" spans="2:13" ht="30" customHeight="1" x14ac:dyDescent="0.25">
      <c r="B95" s="111"/>
      <c r="C95" s="114"/>
      <c r="D95" s="80" t="s">
        <v>39</v>
      </c>
      <c r="E95" s="71"/>
      <c r="F95" s="66"/>
      <c r="G95" s="70">
        <f>G33-G94</f>
        <v>0.69870937500013497</v>
      </c>
      <c r="H95" s="70"/>
      <c r="I95" s="70">
        <f>I33-I94</f>
        <v>0.69870937500013497</v>
      </c>
      <c r="J95" s="70">
        <f>J33-J94</f>
        <v>0.69870937500013497</v>
      </c>
      <c r="K95" s="70">
        <f>K33-K94</f>
        <v>0.69870937500013497</v>
      </c>
      <c r="L95" s="70"/>
      <c r="M95" s="70">
        <f>M33-M94</f>
        <v>0.69870937500013497</v>
      </c>
    </row>
    <row r="96" spans="2:13" ht="30" customHeight="1" x14ac:dyDescent="0.25">
      <c r="B96" s="111"/>
      <c r="C96" s="114">
        <f>C34</f>
        <v>0.8</v>
      </c>
      <c r="D96" s="80" t="s">
        <v>38</v>
      </c>
      <c r="E96" s="71"/>
      <c r="F96" s="66"/>
      <c r="G96" s="68">
        <f>(((G$15-G$39)/(G$14-G$38))*(G34-G$14))+G$15</f>
        <v>1049.271093565</v>
      </c>
      <c r="H96" s="68"/>
      <c r="I96" s="68">
        <f>(((I$15-I$39)/(I$14-I$38))*(I34-I$14))+I$15</f>
        <v>1049.3350935650001</v>
      </c>
      <c r="J96" s="68">
        <f>(((J$15-J$39)/(J$14-J$38))*(J34-J$14))+J$15</f>
        <v>1049.463093565</v>
      </c>
      <c r="K96" s="68">
        <f>(((K$15-K$39)/(K$14-K$38))*(K34-K$14))+K$15</f>
        <v>1049.3350935650001</v>
      </c>
      <c r="L96" s="68"/>
      <c r="M96" s="68">
        <f>(((M$15-M$39)/(M$14-M$38))*(M34-M$14))+M$15</f>
        <v>1049.271093565</v>
      </c>
    </row>
    <row r="97" spans="2:13" ht="30" customHeight="1" x14ac:dyDescent="0.25">
      <c r="B97" s="111"/>
      <c r="C97" s="114"/>
      <c r="D97" s="80" t="s">
        <v>39</v>
      </c>
      <c r="E97" s="71"/>
      <c r="F97" s="66"/>
      <c r="G97" s="70">
        <f>G35-G96</f>
        <v>0.53234999999995125</v>
      </c>
      <c r="H97" s="70"/>
      <c r="I97" s="70">
        <f>I35-I96</f>
        <v>0.53234999999995125</v>
      </c>
      <c r="J97" s="70">
        <f>J35-J96</f>
        <v>0.53234999999995125</v>
      </c>
      <c r="K97" s="70">
        <f>K35-K96</f>
        <v>0.53234999999995125</v>
      </c>
      <c r="L97" s="70"/>
      <c r="M97" s="70">
        <f>M35-M96</f>
        <v>0.53234999999995125</v>
      </c>
    </row>
    <row r="98" spans="2:13" ht="30" customHeight="1" x14ac:dyDescent="0.25">
      <c r="B98" s="111"/>
      <c r="C98" s="114">
        <f>C36</f>
        <v>0.9</v>
      </c>
      <c r="D98" s="80" t="s">
        <v>38</v>
      </c>
      <c r="E98" s="71"/>
      <c r="F98" s="66"/>
      <c r="G98" s="68">
        <f>(((G$15-G$39)/(G$14-G$38))*(G36-G$14))+G$15</f>
        <v>1049.261070565</v>
      </c>
      <c r="H98" s="68"/>
      <c r="I98" s="68">
        <f>(((I$15-I$39)/(I$14-I$38))*(I36-I$14))+I$15</f>
        <v>1049.325070565</v>
      </c>
      <c r="J98" s="68">
        <f>(((J$15-J$39)/(J$14-J$38))*(J36-J$14))+J$15</f>
        <v>1049.453070565</v>
      </c>
      <c r="K98" s="68">
        <f>(((K$15-K$39)/(K$14-K$38))*(K36-K$14))+K$15</f>
        <v>1049.325070565</v>
      </c>
      <c r="L98" s="68"/>
      <c r="M98" s="68">
        <f>(((M$15-M$39)/(M$14-M$38))*(M36-M$14))+M$15</f>
        <v>1049.261070565</v>
      </c>
    </row>
    <row r="99" spans="2:13" ht="30" customHeight="1" x14ac:dyDescent="0.25">
      <c r="B99" s="111"/>
      <c r="C99" s="114"/>
      <c r="D99" s="80" t="s">
        <v>39</v>
      </c>
      <c r="E99" s="71"/>
      <c r="F99" s="66"/>
      <c r="G99" s="70">
        <f>G37-G98</f>
        <v>0.29944687500005784</v>
      </c>
      <c r="H99" s="70"/>
      <c r="I99" s="70">
        <f>I37-I98</f>
        <v>0.29944687500005784</v>
      </c>
      <c r="J99" s="70">
        <f>J37-J98</f>
        <v>0.29944687500005784</v>
      </c>
      <c r="K99" s="70">
        <f>K37-K98</f>
        <v>0.29944687500005784</v>
      </c>
      <c r="L99" s="70"/>
      <c r="M99" s="70">
        <f>M37-M98</f>
        <v>0.29944687500005784</v>
      </c>
    </row>
    <row r="100" spans="2:13" ht="30" customHeight="1" x14ac:dyDescent="0.25">
      <c r="B100" s="111"/>
      <c r="C100" s="114" t="str">
        <f>C38</f>
        <v>CL REAR BRG. PIER 2</v>
      </c>
      <c r="D100" s="80" t="s">
        <v>38</v>
      </c>
      <c r="E100" s="71"/>
      <c r="F100" s="66"/>
      <c r="G100" s="68">
        <f>(((G$15-G$39)/(G$14-G$38))*(G38-G$14))+G$15</f>
        <v>1049.2510475649999</v>
      </c>
      <c r="H100" s="68"/>
      <c r="I100" s="68">
        <f>(((I$15-I$39)/(I$14-I$38))*(I38-I$14))+I$15</f>
        <v>1049.315047565</v>
      </c>
      <c r="J100" s="68">
        <f>(((J$15-J$39)/(J$14-J$38))*(J38-J$14))+J$15</f>
        <v>1049.4430475649999</v>
      </c>
      <c r="K100" s="68">
        <f>(((K$15-K$39)/(K$14-K$38))*(K38-K$14))+K$15</f>
        <v>1049.315047565</v>
      </c>
      <c r="L100" s="68"/>
      <c r="M100" s="68">
        <f>(((M$15-M$39)/(M$14-M$38))*(M38-M$14))+M$15</f>
        <v>1049.2510475649999</v>
      </c>
    </row>
    <row r="101" spans="2:13" ht="30" customHeight="1" x14ac:dyDescent="0.25">
      <c r="B101" s="111"/>
      <c r="C101" s="114"/>
      <c r="D101" s="80" t="s">
        <v>39</v>
      </c>
      <c r="E101" s="71"/>
      <c r="F101" s="66"/>
      <c r="G101" s="70">
        <f>G39-G100</f>
        <v>0</v>
      </c>
      <c r="H101" s="70"/>
      <c r="I101" s="70">
        <f>I39-I100</f>
        <v>0</v>
      </c>
      <c r="J101" s="70">
        <f>J39-J100</f>
        <v>0</v>
      </c>
      <c r="K101" s="70">
        <f>K39-K100</f>
        <v>0</v>
      </c>
      <c r="L101" s="70"/>
      <c r="M101" s="70">
        <f>M39-M100</f>
        <v>0</v>
      </c>
    </row>
    <row r="102" spans="2:13" ht="30" customHeight="1" x14ac:dyDescent="0.25">
      <c r="B102" s="111" t="s">
        <v>66</v>
      </c>
      <c r="C102" s="114" t="str">
        <f>C40</f>
        <v>CL FWD BRG. PIER 2</v>
      </c>
      <c r="D102" s="80" t="s">
        <v>38</v>
      </c>
      <c r="E102" s="71"/>
      <c r="F102" s="66"/>
      <c r="G102" s="68">
        <f>(((G$41-G$49)/(G$40-G$48))*(G40-G$40))+G$41</f>
        <v>1049.1975305649999</v>
      </c>
      <c r="H102" s="66"/>
      <c r="I102" s="68">
        <f>(((I$41-I$49)/(I$40-I$48))*(I40-I$40))+I$41</f>
        <v>1049.2615305649999</v>
      </c>
      <c r="J102" s="68">
        <f>(((J$41-J$49)/(J$40-J$48))*(J40-J$40))+J$41</f>
        <v>1049.3895305649999</v>
      </c>
      <c r="K102" s="68">
        <f>(((K$41-K$49)/(K$40-K$48))*(K40-K$40))+K$41</f>
        <v>1049.2615305649999</v>
      </c>
      <c r="L102" s="66"/>
      <c r="M102" s="68">
        <f>(((M$41-M$49)/(M$40-M$48))*(M40-M$40))+M$41</f>
        <v>1049.1975305649999</v>
      </c>
    </row>
    <row r="103" spans="2:13" ht="30" customHeight="1" x14ac:dyDescent="0.25">
      <c r="B103" s="111"/>
      <c r="C103" s="114"/>
      <c r="D103" s="80" t="s">
        <v>39</v>
      </c>
      <c r="E103" s="71"/>
      <c r="F103" s="66"/>
      <c r="G103" s="70">
        <f>G41-G102</f>
        <v>0</v>
      </c>
      <c r="H103" s="66"/>
      <c r="I103" s="70">
        <f>I41-I102</f>
        <v>0</v>
      </c>
      <c r="J103" s="70">
        <f>J41-J102</f>
        <v>0</v>
      </c>
      <c r="K103" s="70">
        <f>K41-K102</f>
        <v>0</v>
      </c>
      <c r="L103" s="66"/>
      <c r="M103" s="70">
        <f>M41-M102</f>
        <v>0</v>
      </c>
    </row>
    <row r="104" spans="2:13" ht="30" customHeight="1" x14ac:dyDescent="0.25">
      <c r="B104" s="111"/>
      <c r="C104" s="114">
        <f>C42</f>
        <v>0.25</v>
      </c>
      <c r="D104" s="80" t="s">
        <v>38</v>
      </c>
      <c r="E104" s="71"/>
      <c r="F104" s="66"/>
      <c r="G104" s="68">
        <f>(((G$41-G$49)/(G$40-G$48))*(G42-G$40))+G$41</f>
        <v>1048.8996554087498</v>
      </c>
      <c r="H104" s="66"/>
      <c r="I104" s="68">
        <f>(((I$41-I$49)/(I$40-I$48))*(I42-I$40))+I$41</f>
        <v>1048.9636554087499</v>
      </c>
      <c r="J104" s="68">
        <f>(((J$41-J$49)/(J$40-J$48))*(J42-J$40))+J$41</f>
        <v>1049.0916554087498</v>
      </c>
      <c r="K104" s="68">
        <f>(((K$41-K$49)/(K$40-K$48))*(K42-K$40))+K$41</f>
        <v>1048.9636554087499</v>
      </c>
      <c r="L104" s="66"/>
      <c r="M104" s="68">
        <f>(((M$41-M$49)/(M$40-M$48))*(M42-M$40))+M$41</f>
        <v>1048.8996554087498</v>
      </c>
    </row>
    <row r="105" spans="2:13" ht="30" customHeight="1" x14ac:dyDescent="0.25">
      <c r="B105" s="111"/>
      <c r="C105" s="114"/>
      <c r="D105" s="80" t="s">
        <v>39</v>
      </c>
      <c r="E105" s="71"/>
      <c r="F105" s="66"/>
      <c r="G105" s="70">
        <f>G43-G104</f>
        <v>4.5219726562663709E-2</v>
      </c>
      <c r="H105" s="66"/>
      <c r="I105" s="70">
        <f>I43-I104</f>
        <v>4.5219726562663709E-2</v>
      </c>
      <c r="J105" s="70">
        <f>J43-J104</f>
        <v>4.5219726562663709E-2</v>
      </c>
      <c r="K105" s="70">
        <f>K43-K104</f>
        <v>4.5219726562663709E-2</v>
      </c>
      <c r="L105" s="66"/>
      <c r="M105" s="70">
        <f>M43-M104</f>
        <v>4.5219726562663709E-2</v>
      </c>
    </row>
    <row r="106" spans="2:13" ht="30" customHeight="1" x14ac:dyDescent="0.25">
      <c r="B106" s="111"/>
      <c r="C106" s="114">
        <f>C44</f>
        <v>0.5</v>
      </c>
      <c r="D106" s="80" t="s">
        <v>38</v>
      </c>
      <c r="E106" s="71"/>
      <c r="F106" s="66"/>
      <c r="G106" s="68">
        <f>(((G$41-G$49)/(G$40-G$48))*(G44-G$40))+G$41</f>
        <v>1048.6017802524998</v>
      </c>
      <c r="H106" s="66"/>
      <c r="I106" s="68">
        <f>(((I$41-I$49)/(I$40-I$48))*(I44-I$40))+I$41</f>
        <v>1048.6657802525001</v>
      </c>
      <c r="J106" s="68">
        <f>(((J$41-J$49)/(J$40-J$48))*(J44-J$40))+J$41</f>
        <v>1048.7937802524998</v>
      </c>
      <c r="K106" s="68">
        <f>(((K$41-K$49)/(K$40-K$48))*(K44-K$40))+K$41</f>
        <v>1048.6657802525001</v>
      </c>
      <c r="L106" s="66"/>
      <c r="M106" s="68">
        <f>(((M$41-M$49)/(M$40-M$48))*(M44-M$40))+M$41</f>
        <v>1048.6017802524998</v>
      </c>
    </row>
    <row r="107" spans="2:13" ht="30" customHeight="1" x14ac:dyDescent="0.25">
      <c r="B107" s="111"/>
      <c r="C107" s="114"/>
      <c r="D107" s="80" t="s">
        <v>39</v>
      </c>
      <c r="E107" s="71"/>
      <c r="F107" s="66"/>
      <c r="G107" s="70">
        <f>G45-G106</f>
        <v>6.0292968750218279E-2</v>
      </c>
      <c r="H107" s="66"/>
      <c r="I107" s="70">
        <f>I45-I106</f>
        <v>6.0292968749990905E-2</v>
      </c>
      <c r="J107" s="70">
        <f>J45-J106</f>
        <v>6.0292968750218279E-2</v>
      </c>
      <c r="K107" s="70">
        <f>K45-K106</f>
        <v>6.0292968749990905E-2</v>
      </c>
      <c r="L107" s="66"/>
      <c r="M107" s="70">
        <f>M45-M106</f>
        <v>6.0292968750218279E-2</v>
      </c>
    </row>
    <row r="108" spans="2:13" ht="30" customHeight="1" x14ac:dyDescent="0.25">
      <c r="B108" s="111"/>
      <c r="C108" s="114">
        <f>C46</f>
        <v>0.75</v>
      </c>
      <c r="D108" s="80" t="s">
        <v>38</v>
      </c>
      <c r="E108" s="71"/>
      <c r="F108" s="66"/>
      <c r="G108" s="68">
        <f>(((G$41-G$49)/(G$40-G$48))*(G46-G$40))+G$41</f>
        <v>1048.30390509625</v>
      </c>
      <c r="H108" s="66"/>
      <c r="I108" s="68">
        <f>(((I$41-I$49)/(I$40-I$48))*(I46-I$40))+I$41</f>
        <v>1048.3679050962501</v>
      </c>
      <c r="J108" s="68">
        <f>(((J$41-J$49)/(J$40-J$48))*(J46-J$40))+J$41</f>
        <v>1048.49590509625</v>
      </c>
      <c r="K108" s="68">
        <f>(((K$41-K$49)/(K$40-K$48))*(K46-K$40))+K$41</f>
        <v>1048.3679050962501</v>
      </c>
      <c r="L108" s="66"/>
      <c r="M108" s="68">
        <f>(((M$41-M$49)/(M$40-M$48))*(M46-M$40))+M$41</f>
        <v>1048.30390509625</v>
      </c>
    </row>
    <row r="109" spans="2:13" ht="30" customHeight="1" x14ac:dyDescent="0.25">
      <c r="B109" s="111"/>
      <c r="C109" s="114"/>
      <c r="D109" s="80" t="s">
        <v>39</v>
      </c>
      <c r="E109" s="71"/>
      <c r="F109" s="66"/>
      <c r="G109" s="70">
        <f>G47-G108</f>
        <v>4.5219726562436335E-2</v>
      </c>
      <c r="H109" s="66"/>
      <c r="I109" s="70">
        <f>I47-I108</f>
        <v>4.5219726562436335E-2</v>
      </c>
      <c r="J109" s="70">
        <f>J47-J108</f>
        <v>4.5219726562436335E-2</v>
      </c>
      <c r="K109" s="70">
        <f>K47-K108</f>
        <v>4.5219726562436335E-2</v>
      </c>
      <c r="L109" s="66"/>
      <c r="M109" s="70">
        <f>M47-M108</f>
        <v>4.5219726562436335E-2</v>
      </c>
    </row>
    <row r="110" spans="2:13" ht="30" customHeight="1" x14ac:dyDescent="0.25">
      <c r="B110" s="111"/>
      <c r="C110" s="114" t="str">
        <f>C48</f>
        <v>CL BRG. F.A.</v>
      </c>
      <c r="D110" s="80" t="s">
        <v>38</v>
      </c>
      <c r="E110" s="71"/>
      <c r="F110" s="66"/>
      <c r="G110" s="68">
        <f>(((G$41-G$49)/(G$40-G$48))*(G48-G$40))+G$41</f>
        <v>1048.00602994</v>
      </c>
      <c r="H110" s="66"/>
      <c r="I110" s="68">
        <f>(((I$41-I$49)/(I$40-I$48))*(I48-I$40))+I$41</f>
        <v>1048.07002994</v>
      </c>
      <c r="J110" s="68">
        <f>(((J$41-J$49)/(J$40-J$48))*(J48-J$40))+J$41</f>
        <v>1048.19802994</v>
      </c>
      <c r="K110" s="68">
        <f>(((K$41-K$49)/(K$40-K$48))*(K48-K$40))+K$41</f>
        <v>1048.07002994</v>
      </c>
      <c r="L110" s="66"/>
      <c r="M110" s="68">
        <f>(((M$41-M$49)/(M$40-M$48))*(M48-M$40))+M$41</f>
        <v>1048.00602994</v>
      </c>
    </row>
    <row r="111" spans="2:13" ht="30" customHeight="1" x14ac:dyDescent="0.25">
      <c r="B111" s="111"/>
      <c r="C111" s="114"/>
      <c r="D111" s="80" t="s">
        <v>39</v>
      </c>
      <c r="E111" s="71"/>
      <c r="F111" s="66"/>
      <c r="G111" s="70">
        <f>G49-G110</f>
        <v>0</v>
      </c>
      <c r="H111" s="66"/>
      <c r="I111" s="70">
        <f>I49-I110</f>
        <v>0</v>
      </c>
      <c r="J111" s="70">
        <f>J49-J110</f>
        <v>0</v>
      </c>
      <c r="K111" s="70">
        <f>K49-K110</f>
        <v>0</v>
      </c>
      <c r="L111" s="66"/>
      <c r="M111" s="70">
        <f>M49-M110</f>
        <v>0</v>
      </c>
    </row>
    <row r="113" spans="4:12" x14ac:dyDescent="0.25">
      <c r="H113" s="2" t="s">
        <v>121</v>
      </c>
      <c r="L113" s="2" t="s">
        <v>122</v>
      </c>
    </row>
    <row r="114" spans="4:12" x14ac:dyDescent="0.25">
      <c r="D114" s="2" t="s">
        <v>120</v>
      </c>
      <c r="E114" t="s">
        <v>118</v>
      </c>
      <c r="F114" s="3"/>
      <c r="H114" s="67">
        <v>888.04</v>
      </c>
      <c r="L114" s="67">
        <v>888.04</v>
      </c>
    </row>
    <row r="115" spans="4:12" x14ac:dyDescent="0.25">
      <c r="E115" t="s">
        <v>119</v>
      </c>
      <c r="F115" s="48"/>
      <c r="H115" s="68">
        <f>$R$19*(H114-$U$16)+$U$17-(MIN(ABS(H$51),$R$25))*$R$23</f>
        <v>1046.6464799999999</v>
      </c>
      <c r="L115" s="68">
        <f>$R$19*(L114-$U$16)+$U$17-(MIN(ABS(L$51),$R$25))*$R$23</f>
        <v>1046.6464799999999</v>
      </c>
    </row>
  </sheetData>
  <mergeCells count="72">
    <mergeCell ref="C38:C39"/>
    <mergeCell ref="C24:C25"/>
    <mergeCell ref="C26:C27"/>
    <mergeCell ref="C28:C29"/>
    <mergeCell ref="C84:C85"/>
    <mergeCell ref="C74:C75"/>
    <mergeCell ref="F60:G61"/>
    <mergeCell ref="I52:K52"/>
    <mergeCell ref="F54:G55"/>
    <mergeCell ref="F56:G57"/>
    <mergeCell ref="F58:G59"/>
    <mergeCell ref="C22:C23"/>
    <mergeCell ref="C30:C31"/>
    <mergeCell ref="C14:C15"/>
    <mergeCell ref="C16:C17"/>
    <mergeCell ref="C18:C19"/>
    <mergeCell ref="C20:C21"/>
    <mergeCell ref="W14:W15"/>
    <mergeCell ref="W16:W17"/>
    <mergeCell ref="W18:W19"/>
    <mergeCell ref="W20:W21"/>
    <mergeCell ref="W38:W39"/>
    <mergeCell ref="AC51:AC63"/>
    <mergeCell ref="AD51:AD63"/>
    <mergeCell ref="AE51:AE63"/>
    <mergeCell ref="AF51:AF63"/>
    <mergeCell ref="AG51:AG63"/>
    <mergeCell ref="X51:X63"/>
    <mergeCell ref="Y51:Y63"/>
    <mergeCell ref="Z51:Z63"/>
    <mergeCell ref="AA51:AA63"/>
    <mergeCell ref="AB51:AB63"/>
    <mergeCell ref="C12:C13"/>
    <mergeCell ref="B4:B13"/>
    <mergeCell ref="B14:B39"/>
    <mergeCell ref="B40:B49"/>
    <mergeCell ref="C40:C41"/>
    <mergeCell ref="C42:C43"/>
    <mergeCell ref="C44:C45"/>
    <mergeCell ref="C46:C47"/>
    <mergeCell ref="C48:C49"/>
    <mergeCell ref="C4:C5"/>
    <mergeCell ref="C6:C7"/>
    <mergeCell ref="C8:C9"/>
    <mergeCell ref="C10:C11"/>
    <mergeCell ref="C32:C33"/>
    <mergeCell ref="C34:C35"/>
    <mergeCell ref="C36:C37"/>
    <mergeCell ref="B66:B75"/>
    <mergeCell ref="C100:C101"/>
    <mergeCell ref="C88:C89"/>
    <mergeCell ref="C90:C91"/>
    <mergeCell ref="C94:C95"/>
    <mergeCell ref="C96:C97"/>
    <mergeCell ref="C98:C99"/>
    <mergeCell ref="C80:C81"/>
    <mergeCell ref="C78:C79"/>
    <mergeCell ref="C82:C83"/>
    <mergeCell ref="C86:C87"/>
    <mergeCell ref="C76:C77"/>
    <mergeCell ref="C66:C67"/>
    <mergeCell ref="C68:C69"/>
    <mergeCell ref="C70:C71"/>
    <mergeCell ref="C72:C73"/>
    <mergeCell ref="C92:C93"/>
    <mergeCell ref="B102:B111"/>
    <mergeCell ref="C102:C103"/>
    <mergeCell ref="C104:C105"/>
    <mergeCell ref="C106:C107"/>
    <mergeCell ref="C108:C109"/>
    <mergeCell ref="C110:C111"/>
    <mergeCell ref="B76:B101"/>
  </mergeCells>
  <pageMargins left="0.7" right="0.7" top="0.75" bottom="0.75" header="0.3" footer="0.3"/>
  <pageSetup paperSize="17"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AL73"/>
  <sheetViews>
    <sheetView topLeftCell="A54" zoomScaleNormal="100" workbookViewId="0">
      <selection activeCell="D70" sqref="D70"/>
    </sheetView>
  </sheetViews>
  <sheetFormatPr defaultRowHeight="15" x14ac:dyDescent="0.25"/>
  <cols>
    <col min="1" max="1" width="18.5703125" bestFit="1" customWidth="1"/>
    <col min="2" max="2" width="11.5703125" bestFit="1" customWidth="1"/>
    <col min="3" max="3" width="10.85546875" customWidth="1"/>
    <col min="4" max="4" width="13.42578125" customWidth="1"/>
    <col min="5" max="5" width="11.5703125" customWidth="1"/>
    <col min="6" max="6" width="14.140625" customWidth="1"/>
    <col min="7" max="7" width="12.140625" customWidth="1"/>
    <col min="8" max="8" width="12.140625" hidden="1" customWidth="1"/>
    <col min="9" max="9" width="14.42578125" customWidth="1"/>
    <col min="10" max="10" width="14.140625" customWidth="1"/>
    <col min="11" max="11" width="11.5703125" customWidth="1"/>
    <col min="12" max="12" width="11.5703125" hidden="1" customWidth="1"/>
    <col min="13" max="13" width="11.5703125" customWidth="1"/>
    <col min="14" max="14" width="14.28515625" customWidth="1"/>
    <col min="16" max="16" width="18" customWidth="1"/>
    <col min="21" max="21" width="17.5703125" customWidth="1"/>
    <col min="26" max="26" width="16.42578125" customWidth="1"/>
    <col min="27" max="27" width="19.7109375" customWidth="1"/>
    <col min="33" max="33" width="11.28515625" customWidth="1"/>
  </cols>
  <sheetData>
    <row r="1" spans="1:38" ht="15.75" thickBot="1" x14ac:dyDescent="0.3"/>
    <row r="2" spans="1:38" ht="18.75" thickBot="1" x14ac:dyDescent="0.3">
      <c r="A2" s="19"/>
      <c r="B2" s="44"/>
      <c r="C2" s="44"/>
      <c r="D2" s="44"/>
      <c r="E2" s="44"/>
      <c r="F2" s="170" t="s">
        <v>42</v>
      </c>
      <c r="G2" s="171"/>
      <c r="H2" s="171"/>
      <c r="I2" s="171"/>
      <c r="J2" s="171"/>
      <c r="K2" s="171"/>
      <c r="L2" s="171"/>
      <c r="M2" s="171"/>
      <c r="N2" s="172"/>
      <c r="O2" s="44"/>
      <c r="R2" s="44"/>
    </row>
    <row r="3" spans="1:38" ht="39" thickBot="1" x14ac:dyDescent="0.3">
      <c r="A3" s="45"/>
      <c r="B3" s="46"/>
      <c r="C3" s="46"/>
      <c r="D3" s="46"/>
      <c r="E3" s="46"/>
      <c r="F3" s="18" t="s">
        <v>0</v>
      </c>
      <c r="G3" s="47" t="s">
        <v>60</v>
      </c>
      <c r="H3" s="47"/>
      <c r="I3" s="47" t="s">
        <v>61</v>
      </c>
      <c r="J3" s="76" t="s">
        <v>79</v>
      </c>
      <c r="K3" s="47" t="s">
        <v>71</v>
      </c>
      <c r="L3" s="47"/>
      <c r="M3" s="47" t="s">
        <v>63</v>
      </c>
      <c r="N3" s="51" t="s">
        <v>51</v>
      </c>
      <c r="O3" s="46"/>
      <c r="R3" s="19" t="s">
        <v>116</v>
      </c>
      <c r="T3" s="44"/>
    </row>
    <row r="4" spans="1:38" x14ac:dyDescent="0.25">
      <c r="A4" s="45"/>
      <c r="B4" s="46"/>
      <c r="C4" s="46"/>
      <c r="D4" s="46"/>
      <c r="E4" s="46"/>
      <c r="F4" s="167" t="s">
        <v>88</v>
      </c>
      <c r="G4" s="20">
        <f>'Final Deck Calc'!G4</f>
        <v>913.54</v>
      </c>
      <c r="H4" s="20"/>
      <c r="I4" s="20">
        <f>'Final Deck Calc'!I4</f>
        <v>913.54</v>
      </c>
      <c r="J4" s="20">
        <f>'Final Deck Calc'!J4</f>
        <v>913.54</v>
      </c>
      <c r="K4" s="20">
        <f>'Final Deck Calc'!K4</f>
        <v>913.54</v>
      </c>
      <c r="L4" s="20"/>
      <c r="M4" s="20">
        <f>'Final Deck Calc'!M4</f>
        <v>913.54</v>
      </c>
      <c r="N4" s="52"/>
      <c r="O4" s="46"/>
      <c r="R4" s="19">
        <f>4*0.016</f>
        <v>6.4000000000000001E-2</v>
      </c>
      <c r="T4" s="43"/>
      <c r="U4" s="42"/>
      <c r="AG4" s="114" t="s">
        <v>123</v>
      </c>
      <c r="AH4" s="114"/>
      <c r="AI4" s="114"/>
      <c r="AJ4" s="114"/>
      <c r="AK4" s="114"/>
      <c r="AL4" s="114"/>
    </row>
    <row r="5" spans="1:38" ht="15.75" thickBot="1" x14ac:dyDescent="0.3">
      <c r="A5" s="45"/>
      <c r="B5" s="46"/>
      <c r="C5" s="46"/>
      <c r="D5" s="46"/>
      <c r="E5" s="46"/>
      <c r="F5" s="168"/>
      <c r="G5" s="22">
        <f>'Final Deck Calc'!G5-'Seats and Variable HP'!$Q$27-$R$4</f>
        <v>1043.0852806066664</v>
      </c>
      <c r="H5" s="22"/>
      <c r="I5" s="22">
        <f>'Final Deck Calc'!I5-'Seats and Variable HP'!$Q$27</f>
        <v>1043.2132806066666</v>
      </c>
      <c r="J5" s="22">
        <f>'Final Deck Calc'!J5-'Seats and Variable HP'!$Q$27</f>
        <v>1043.3412806066665</v>
      </c>
      <c r="K5" s="22">
        <f>'Final Deck Calc'!K5-'Seats and Variable HP'!$Q$27</f>
        <v>1043.2132806066666</v>
      </c>
      <c r="L5" s="22"/>
      <c r="M5" s="22">
        <f>'Final Deck Calc'!M5-'Seats and Variable HP'!$Q$27-$R$4</f>
        <v>1043.0852806066664</v>
      </c>
      <c r="N5" s="53">
        <f>MIN(G5:M5)</f>
        <v>1043.0852806066664</v>
      </c>
      <c r="O5" s="46"/>
      <c r="AG5" s="66" t="s">
        <v>129</v>
      </c>
      <c r="AH5" s="66" t="s">
        <v>124</v>
      </c>
      <c r="AI5" s="66" t="s">
        <v>125</v>
      </c>
      <c r="AJ5" s="66" t="s">
        <v>126</v>
      </c>
      <c r="AK5" s="66" t="s">
        <v>127</v>
      </c>
      <c r="AL5" s="66" t="s">
        <v>128</v>
      </c>
    </row>
    <row r="6" spans="1:38" ht="33" customHeight="1" x14ac:dyDescent="0.25">
      <c r="A6" s="45"/>
      <c r="B6" s="46"/>
      <c r="C6" s="46"/>
      <c r="D6" s="46"/>
      <c r="E6" s="166"/>
      <c r="F6" s="112" t="s">
        <v>64</v>
      </c>
      <c r="G6" s="20">
        <f>'Final Deck Calc'!G12</f>
        <v>939.79</v>
      </c>
      <c r="H6" s="26"/>
      <c r="I6" s="20">
        <f>'Final Deck Calc'!I12</f>
        <v>939.79</v>
      </c>
      <c r="J6" s="20">
        <f>'Final Deck Calc'!J12</f>
        <v>939.79</v>
      </c>
      <c r="K6" s="20">
        <f>'Final Deck Calc'!K12</f>
        <v>939.79</v>
      </c>
      <c r="L6" s="26"/>
      <c r="M6" s="20">
        <f>'Final Deck Calc'!M12</f>
        <v>939.79</v>
      </c>
      <c r="N6" s="82"/>
      <c r="O6" s="46"/>
      <c r="AG6" s="97" t="s">
        <v>130</v>
      </c>
      <c r="AH6" s="68">
        <f>G7</f>
        <v>1044.6707278983331</v>
      </c>
      <c r="AI6" s="68">
        <f>I7</f>
        <v>1044.7987278983333</v>
      </c>
      <c r="AJ6" s="68">
        <f>J7</f>
        <v>1044.9267278983332</v>
      </c>
      <c r="AK6" s="68">
        <f>K7</f>
        <v>1044.7987278983333</v>
      </c>
      <c r="AL6" s="68">
        <f>M7</f>
        <v>1044.6707278983331</v>
      </c>
    </row>
    <row r="7" spans="1:38" ht="30.75" thickBot="1" x14ac:dyDescent="0.3">
      <c r="A7" s="45"/>
      <c r="B7" s="46"/>
      <c r="C7" s="46"/>
      <c r="D7" s="46"/>
      <c r="E7" s="166"/>
      <c r="F7" s="113"/>
      <c r="G7" s="22">
        <f>'Final Deck Calc'!G13-'Seats and Variable HP'!$V$27-$R$4</f>
        <v>1044.6707278983331</v>
      </c>
      <c r="H7" s="26"/>
      <c r="I7" s="22">
        <f>'Final Deck Calc'!I13-'Seats and Variable HP'!$V$27</f>
        <v>1044.7987278983333</v>
      </c>
      <c r="J7" s="22">
        <f>'Final Deck Calc'!J13-'Seats and Variable HP'!$V$27</f>
        <v>1044.9267278983332</v>
      </c>
      <c r="K7" s="22">
        <f>'Final Deck Calc'!K13-'Seats and Variable HP'!$V$27</f>
        <v>1044.7987278983333</v>
      </c>
      <c r="L7" s="26"/>
      <c r="M7" s="22">
        <f>'Final Deck Calc'!M13-'Seats and Variable HP'!$V$27-$R$4</f>
        <v>1044.6707278983331</v>
      </c>
      <c r="N7" s="82"/>
      <c r="O7" s="46"/>
      <c r="AG7" s="97" t="s">
        <v>131</v>
      </c>
      <c r="AH7" s="68">
        <f>G11</f>
        <v>1044.5688475649999</v>
      </c>
      <c r="AI7" s="68">
        <f>I11</f>
        <v>1044.6968475650001</v>
      </c>
      <c r="AJ7" s="68">
        <f>J11</f>
        <v>1044.824847565</v>
      </c>
      <c r="AK7" s="68">
        <f>K11</f>
        <v>1044.6968475650001</v>
      </c>
      <c r="AL7" s="68">
        <f>M11</f>
        <v>1044.5688475649999</v>
      </c>
    </row>
    <row r="8" spans="1:38" ht="15" customHeight="1" x14ac:dyDescent="0.25">
      <c r="A8" s="45"/>
      <c r="B8" s="46"/>
      <c r="C8" s="46"/>
      <c r="D8" s="46"/>
      <c r="E8" s="166"/>
      <c r="F8" s="112" t="s">
        <v>65</v>
      </c>
      <c r="G8" s="20">
        <f>'Final Deck Calc'!G14</f>
        <v>941.29</v>
      </c>
      <c r="H8" s="26"/>
      <c r="I8" s="20">
        <f>'Final Deck Calc'!I14</f>
        <v>941.29</v>
      </c>
      <c r="J8" s="20">
        <f>'Final Deck Calc'!J14</f>
        <v>941.29</v>
      </c>
      <c r="K8" s="20">
        <f>'Final Deck Calc'!K14</f>
        <v>941.29</v>
      </c>
      <c r="L8" s="26"/>
      <c r="M8" s="20">
        <f>'Final Deck Calc'!M14</f>
        <v>941.29</v>
      </c>
      <c r="N8" s="82"/>
      <c r="O8" s="46"/>
    </row>
    <row r="9" spans="1:38" ht="15.75" thickBot="1" x14ac:dyDescent="0.3">
      <c r="A9" s="45"/>
      <c r="B9" s="46"/>
      <c r="C9" s="46"/>
      <c r="D9" s="46"/>
      <c r="E9" s="166"/>
      <c r="F9" s="113"/>
      <c r="G9" s="22">
        <f>'Final Deck Calc'!G15-'Seats and Variable HP'!$AA$27-$R$4</f>
        <v>1044.669077565</v>
      </c>
      <c r="H9" s="26"/>
      <c r="I9" s="22">
        <f>'Final Deck Calc'!I15-'Seats and Variable HP'!$AA$27</f>
        <v>1044.7970775650001</v>
      </c>
      <c r="J9" s="22">
        <f>'Final Deck Calc'!J15-'Seats and Variable HP'!$AA$27</f>
        <v>1044.925077565</v>
      </c>
      <c r="K9" s="22">
        <f>'Final Deck Calc'!K15-'Seats and Variable HP'!$AA$27</f>
        <v>1044.7970775650001</v>
      </c>
      <c r="L9" s="26"/>
      <c r="M9" s="22">
        <f>'Final Deck Calc'!M15-'Seats and Variable HP'!$AA$27-$R$4</f>
        <v>1044.669077565</v>
      </c>
      <c r="N9" s="82"/>
      <c r="O9" s="46"/>
    </row>
    <row r="10" spans="1:38" ht="15" customHeight="1" x14ac:dyDescent="0.25">
      <c r="A10" s="45"/>
      <c r="B10" s="46"/>
      <c r="C10" s="46"/>
      <c r="D10" s="46"/>
      <c r="E10" s="166"/>
      <c r="F10" s="112" t="s">
        <v>67</v>
      </c>
      <c r="G10" s="20">
        <f>'Final Deck Calc'!G38</f>
        <v>1038.79</v>
      </c>
      <c r="H10" s="26"/>
      <c r="I10" s="20">
        <f>'Final Deck Calc'!I38</f>
        <v>1038.79</v>
      </c>
      <c r="J10" s="20">
        <f>'Final Deck Calc'!J38</f>
        <v>1038.79</v>
      </c>
      <c r="K10" s="20">
        <f>'Final Deck Calc'!K38</f>
        <v>1038.79</v>
      </c>
      <c r="L10" s="26"/>
      <c r="M10" s="20">
        <f>'Final Deck Calc'!M38</f>
        <v>1038.79</v>
      </c>
      <c r="N10" s="82"/>
      <c r="O10" s="46"/>
    </row>
    <row r="11" spans="1:38" ht="15.75" thickBot="1" x14ac:dyDescent="0.3">
      <c r="A11" s="45"/>
      <c r="B11" s="46"/>
      <c r="C11" s="46"/>
      <c r="D11" s="46"/>
      <c r="E11" s="166"/>
      <c r="F11" s="113"/>
      <c r="G11" s="22">
        <f>'Final Deck Calc'!G39-'Seats and Variable HP'!$AA$27-$R$4</f>
        <v>1044.5688475649999</v>
      </c>
      <c r="H11" s="26"/>
      <c r="I11" s="22">
        <f>'Final Deck Calc'!I39-'Seats and Variable HP'!$AA$27</f>
        <v>1044.6968475650001</v>
      </c>
      <c r="J11" s="22">
        <f>'Final Deck Calc'!J39-'Seats and Variable HP'!$AA$27</f>
        <v>1044.824847565</v>
      </c>
      <c r="K11" s="22">
        <f>'Final Deck Calc'!K39-'Seats and Variable HP'!$AA$27</f>
        <v>1044.6968475650001</v>
      </c>
      <c r="L11" s="26"/>
      <c r="M11" s="22">
        <f>'Final Deck Calc'!M39-'Seats and Variable HP'!$AA$27-$R$4</f>
        <v>1044.5688475649999</v>
      </c>
      <c r="N11" s="82"/>
      <c r="O11" s="46"/>
    </row>
    <row r="12" spans="1:38" ht="15" customHeight="1" x14ac:dyDescent="0.25">
      <c r="A12" s="45"/>
      <c r="B12" s="46"/>
      <c r="C12" s="46"/>
      <c r="D12" s="46"/>
      <c r="E12" s="166"/>
      <c r="F12" s="112" t="s">
        <v>74</v>
      </c>
      <c r="G12" s="20">
        <f>'Final Deck Calc'!G40</f>
        <v>1040.29</v>
      </c>
      <c r="H12" s="26"/>
      <c r="I12" s="20">
        <f>'Final Deck Calc'!I40</f>
        <v>1040.29</v>
      </c>
      <c r="J12" s="20">
        <f>'Final Deck Calc'!J40</f>
        <v>1040.29</v>
      </c>
      <c r="K12" s="20">
        <f>'Final Deck Calc'!K40</f>
        <v>1040.29</v>
      </c>
      <c r="L12" s="26"/>
      <c r="M12" s="20">
        <f>'Final Deck Calc'!M40</f>
        <v>1040.29</v>
      </c>
      <c r="N12" s="82"/>
      <c r="O12" s="46"/>
    </row>
    <row r="13" spans="1:38" ht="15.75" thickBot="1" x14ac:dyDescent="0.3">
      <c r="A13" s="45"/>
      <c r="B13" s="46"/>
      <c r="C13" s="46"/>
      <c r="D13" s="46"/>
      <c r="E13" s="166"/>
      <c r="F13" s="113"/>
      <c r="G13" s="22">
        <f>'Final Deck Calc'!G41-'Seats and Variable HP'!$V$27-$R$4</f>
        <v>1044.5674138983331</v>
      </c>
      <c r="H13" s="26"/>
      <c r="I13" s="22">
        <f>'Final Deck Calc'!I41-'Seats and Variable HP'!$V$27</f>
        <v>1044.6954138983333</v>
      </c>
      <c r="J13" s="22">
        <f>'Final Deck Calc'!J41-'Seats and Variable HP'!$V$27</f>
        <v>1044.8234138983332</v>
      </c>
      <c r="K13" s="22">
        <f>'Final Deck Calc'!K41-'Seats and Variable HP'!$V$27</f>
        <v>1044.6954138983333</v>
      </c>
      <c r="L13" s="26"/>
      <c r="M13" s="22">
        <f>'Final Deck Calc'!M41-'Seats and Variable HP'!$V$27-$R$4</f>
        <v>1044.5674138983331</v>
      </c>
      <c r="N13" s="82"/>
      <c r="O13" s="46"/>
    </row>
    <row r="14" spans="1:38" x14ac:dyDescent="0.25">
      <c r="B14" s="48"/>
      <c r="C14" s="48"/>
      <c r="D14" s="48"/>
      <c r="E14" s="48"/>
      <c r="F14" s="167" t="s">
        <v>89</v>
      </c>
      <c r="G14" s="20">
        <f>'Final Deck Calc'!G48</f>
        <v>1066.54</v>
      </c>
      <c r="H14" s="20"/>
      <c r="I14" s="20">
        <f>'Final Deck Calc'!I48</f>
        <v>1066.54</v>
      </c>
      <c r="J14" s="20">
        <f>'Final Deck Calc'!J48</f>
        <v>1066.54</v>
      </c>
      <c r="K14" s="20">
        <f>'Final Deck Calc'!K48</f>
        <v>1066.54</v>
      </c>
      <c r="L14" s="20"/>
      <c r="M14" s="20">
        <f>'Final Deck Calc'!M48</f>
        <v>1066.54</v>
      </c>
      <c r="N14" s="50"/>
      <c r="O14" s="48"/>
    </row>
    <row r="15" spans="1:38" ht="15.75" thickBot="1" x14ac:dyDescent="0.3">
      <c r="B15" s="48"/>
      <c r="C15" s="48"/>
      <c r="D15" s="48"/>
      <c r="E15" s="48"/>
      <c r="F15" s="169"/>
      <c r="G15" s="24">
        <f>'Final Deck Calc'!G49-'Seats and Variable HP'!$Q$27-$R$4</f>
        <v>1042.9279966066665</v>
      </c>
      <c r="H15" s="24"/>
      <c r="I15" s="24">
        <f>'Final Deck Calc'!I49-'Seats and Variable HP'!$Q$27</f>
        <v>1043.0559966066667</v>
      </c>
      <c r="J15" s="24">
        <f>'Final Deck Calc'!J49-'Seats and Variable HP'!$Q$27</f>
        <v>1043.1839966066666</v>
      </c>
      <c r="K15" s="24">
        <f>'Final Deck Calc'!K49-'Seats and Variable HP'!$Q$27</f>
        <v>1043.0559966066667</v>
      </c>
      <c r="L15" s="24"/>
      <c r="M15" s="24">
        <f>'Final Deck Calc'!M49-'Seats and Variable HP'!$Q$27-$R$4</f>
        <v>1042.9279966066665</v>
      </c>
      <c r="N15" s="53">
        <f>MIN(G15:M15)</f>
        <v>1042.9279966066665</v>
      </c>
      <c r="O15" s="48"/>
    </row>
    <row r="18" spans="4:28" x14ac:dyDescent="0.25">
      <c r="P18" s="49" t="s">
        <v>91</v>
      </c>
      <c r="U18" s="49" t="s">
        <v>92</v>
      </c>
      <c r="Z18" s="49" t="s">
        <v>93</v>
      </c>
    </row>
    <row r="19" spans="4:28" ht="25.5" x14ac:dyDescent="0.25">
      <c r="P19" s="44" t="s">
        <v>43</v>
      </c>
      <c r="Q19">
        <v>8.5</v>
      </c>
      <c r="R19" t="s">
        <v>44</v>
      </c>
      <c r="U19" s="44" t="s">
        <v>43</v>
      </c>
      <c r="V19">
        <v>8.5</v>
      </c>
      <c r="W19" t="s">
        <v>44</v>
      </c>
      <c r="Z19" s="44" t="s">
        <v>43</v>
      </c>
      <c r="AA19">
        <v>8.5</v>
      </c>
      <c r="AB19" t="s">
        <v>44</v>
      </c>
    </row>
    <row r="20" spans="4:28" ht="30" x14ac:dyDescent="0.25">
      <c r="P20" s="43" t="s">
        <v>45</v>
      </c>
      <c r="Q20" s="42">
        <v>38.25</v>
      </c>
      <c r="R20" t="s">
        <v>44</v>
      </c>
      <c r="U20" s="43" t="s">
        <v>45</v>
      </c>
      <c r="V20" s="42">
        <v>38.25</v>
      </c>
      <c r="W20" t="s">
        <v>44</v>
      </c>
      <c r="Z20" s="43" t="s">
        <v>45</v>
      </c>
      <c r="AA20" s="42">
        <v>40.5</v>
      </c>
      <c r="AB20" t="s">
        <v>44</v>
      </c>
    </row>
    <row r="21" spans="4:28" x14ac:dyDescent="0.25">
      <c r="P21" s="43" t="s">
        <v>52</v>
      </c>
      <c r="Q21" s="42">
        <v>2</v>
      </c>
      <c r="R21" t="s">
        <v>44</v>
      </c>
      <c r="U21" s="43" t="s">
        <v>52</v>
      </c>
      <c r="V21" s="42">
        <v>2</v>
      </c>
      <c r="W21" t="s">
        <v>44</v>
      </c>
      <c r="Z21" s="43" t="s">
        <v>52</v>
      </c>
      <c r="AA21" s="42">
        <v>2</v>
      </c>
      <c r="AB21" t="s">
        <v>44</v>
      </c>
    </row>
    <row r="22" spans="4:28" ht="30" x14ac:dyDescent="0.25">
      <c r="P22" s="43" t="s">
        <v>50</v>
      </c>
      <c r="Q22" s="42">
        <f>9-Q23</f>
        <v>7</v>
      </c>
      <c r="R22" t="s">
        <v>44</v>
      </c>
      <c r="U22" s="43" t="s">
        <v>50</v>
      </c>
      <c r="V22" s="42">
        <v>0</v>
      </c>
      <c r="W22" t="s">
        <v>44</v>
      </c>
      <c r="Z22" s="43" t="s">
        <v>50</v>
      </c>
      <c r="AA22" s="42">
        <v>0</v>
      </c>
      <c r="AB22" t="s">
        <v>44</v>
      </c>
    </row>
    <row r="23" spans="4:28" ht="15" customHeight="1" x14ac:dyDescent="0.25">
      <c r="P23" t="s">
        <v>49</v>
      </c>
      <c r="Q23">
        <v>2</v>
      </c>
      <c r="R23" t="s">
        <v>44</v>
      </c>
      <c r="U23" t="s">
        <v>49</v>
      </c>
      <c r="V23">
        <v>1.5</v>
      </c>
      <c r="W23" t="s">
        <v>44</v>
      </c>
      <c r="Z23" t="s">
        <v>49</v>
      </c>
      <c r="AA23">
        <v>2</v>
      </c>
      <c r="AB23" t="s">
        <v>44</v>
      </c>
    </row>
    <row r="24" spans="4:28" ht="15" customHeight="1" x14ac:dyDescent="0.25">
      <c r="P24" s="43" t="s">
        <v>90</v>
      </c>
      <c r="Q24" s="42">
        <v>0</v>
      </c>
      <c r="R24" t="s">
        <v>44</v>
      </c>
      <c r="U24" s="43" t="s">
        <v>90</v>
      </c>
      <c r="V24" s="14">
        <v>2.125</v>
      </c>
      <c r="W24" t="s">
        <v>44</v>
      </c>
      <c r="Z24" s="43" t="s">
        <v>90</v>
      </c>
      <c r="AA24" s="42">
        <v>0</v>
      </c>
      <c r="AB24" t="s">
        <v>44</v>
      </c>
    </row>
    <row r="25" spans="4:28" x14ac:dyDescent="0.25">
      <c r="F25" t="s">
        <v>107</v>
      </c>
      <c r="P25" t="s">
        <v>46</v>
      </c>
      <c r="Q25">
        <v>2.4184000000000001</v>
      </c>
      <c r="R25" t="s">
        <v>44</v>
      </c>
      <c r="U25" t="s">
        <v>46</v>
      </c>
      <c r="V25">
        <v>2.4184000000000001</v>
      </c>
      <c r="W25" t="s">
        <v>44</v>
      </c>
      <c r="Z25" t="s">
        <v>46</v>
      </c>
      <c r="AA25">
        <v>2.4184000000000001</v>
      </c>
      <c r="AB25" t="s">
        <v>44</v>
      </c>
    </row>
    <row r="26" spans="4:28" x14ac:dyDescent="0.25">
      <c r="E26" t="s">
        <v>106</v>
      </c>
      <c r="F26">
        <v>9.99</v>
      </c>
      <c r="G26" t="s">
        <v>97</v>
      </c>
    </row>
    <row r="27" spans="4:28" x14ac:dyDescent="0.25">
      <c r="P27" t="s">
        <v>47</v>
      </c>
      <c r="Q27" s="42">
        <f>SUM(Q19:Q26)/12</f>
        <v>5.0140333333333329</v>
      </c>
      <c r="R27" t="s">
        <v>48</v>
      </c>
      <c r="U27" t="s">
        <v>47</v>
      </c>
      <c r="V27" s="42">
        <f>SUM(V19:V26)/12</f>
        <v>4.5661166666666668</v>
      </c>
      <c r="W27" t="s">
        <v>48</v>
      </c>
      <c r="Z27" t="s">
        <v>47</v>
      </c>
      <c r="AA27" s="42">
        <f>SUM(AA19:AA26)/12</f>
        <v>4.6181999999999999</v>
      </c>
      <c r="AB27" t="s">
        <v>48</v>
      </c>
    </row>
    <row r="29" spans="4:28" ht="13.5" customHeight="1" x14ac:dyDescent="0.25">
      <c r="D29" t="s">
        <v>105</v>
      </c>
      <c r="E29" s="157" t="s">
        <v>108</v>
      </c>
      <c r="F29" s="158"/>
      <c r="G29" s="158"/>
      <c r="H29" s="158"/>
      <c r="I29" s="158"/>
      <c r="J29" s="158"/>
      <c r="K29" s="158"/>
      <c r="L29" s="158"/>
      <c r="M29" s="159"/>
      <c r="N29" s="54"/>
    </row>
    <row r="30" spans="4:28" ht="13.5" customHeight="1" x14ac:dyDescent="0.25">
      <c r="E30" s="71"/>
      <c r="F30" s="98"/>
      <c r="G30" s="98" t="s">
        <v>60</v>
      </c>
      <c r="H30" s="98"/>
      <c r="I30" s="98" t="s">
        <v>61</v>
      </c>
      <c r="J30" s="99" t="s">
        <v>70</v>
      </c>
      <c r="K30" s="98" t="s">
        <v>71</v>
      </c>
      <c r="L30" s="98"/>
      <c r="M30" s="98" t="s">
        <v>63</v>
      </c>
      <c r="N30" s="46"/>
    </row>
    <row r="31" spans="4:28" ht="13.5" customHeight="1" x14ac:dyDescent="0.25">
      <c r="E31" s="160" t="s">
        <v>103</v>
      </c>
      <c r="F31" s="98" t="s">
        <v>101</v>
      </c>
      <c r="G31" s="100">
        <f>G32-$F$26/2*$D$32</f>
        <v>6.7352650000000001</v>
      </c>
      <c r="H31" s="101"/>
      <c r="I31" s="100">
        <f>I32-$F$26/2*$D$32</f>
        <v>8.2712650000018773</v>
      </c>
      <c r="J31" s="101">
        <f>J32-$F$26/2*$D$32</f>
        <v>9.807265000001026</v>
      </c>
      <c r="K31" s="100">
        <f>K32-$F$26/2*$D$32</f>
        <v>8.2712650000018773</v>
      </c>
      <c r="L31" s="101"/>
      <c r="M31" s="100">
        <f>M32-$F$26/2*$D$32</f>
        <v>6.7352650000000001</v>
      </c>
      <c r="N31" s="46"/>
    </row>
    <row r="32" spans="4:28" ht="13.5" customHeight="1" x14ac:dyDescent="0.25">
      <c r="D32">
        <v>5.2999999999999999E-2</v>
      </c>
      <c r="E32" s="161"/>
      <c r="F32" s="71" t="s">
        <v>133</v>
      </c>
      <c r="G32" s="102">
        <f>(G5-$N$5)*12+$Q$22</f>
        <v>7</v>
      </c>
      <c r="H32" s="102"/>
      <c r="I32" s="102">
        <f>(I5-$N$5)*12+$Q$22</f>
        <v>8.5360000000018772</v>
      </c>
      <c r="J32" s="102">
        <f>(J5-$N$5)*12+$Q$22</f>
        <v>10.072000000001026</v>
      </c>
      <c r="K32" s="102">
        <f>(K5-$N$5)*12+$Q$22</f>
        <v>8.5360000000018772</v>
      </c>
      <c r="L32" s="102"/>
      <c r="M32" s="102">
        <f>(M5-$N$5)*12+$Q$22</f>
        <v>7</v>
      </c>
      <c r="N32" s="46"/>
    </row>
    <row r="33" spans="4:14" ht="13.5" customHeight="1" x14ac:dyDescent="0.25">
      <c r="E33" s="162"/>
      <c r="F33" s="103" t="s">
        <v>102</v>
      </c>
      <c r="G33" s="100">
        <f>G32+$F$26/2*$D$32</f>
        <v>7.2647349999999999</v>
      </c>
      <c r="H33" s="102"/>
      <c r="I33" s="101">
        <f>I32+$F$26/2*$D$32</f>
        <v>8.8007350000018771</v>
      </c>
      <c r="J33" s="101">
        <f>J32+$F$26/2*$D$32</f>
        <v>10.336735000001026</v>
      </c>
      <c r="K33" s="101">
        <f>K32+$F$26/2*$D$32</f>
        <v>8.8007350000018771</v>
      </c>
      <c r="L33" s="102"/>
      <c r="M33" s="100">
        <f>M32+$F$26/2*$D$32</f>
        <v>7.2647349999999999</v>
      </c>
      <c r="N33" s="46"/>
    </row>
    <row r="34" spans="4:14" ht="13.5" customHeight="1" x14ac:dyDescent="0.25">
      <c r="E34" s="160" t="s">
        <v>104</v>
      </c>
      <c r="F34" s="98" t="s">
        <v>101</v>
      </c>
      <c r="G34" s="100">
        <f>G35+$F$26/2*$D$35</f>
        <v>7.2747250000000001</v>
      </c>
      <c r="H34" s="102"/>
      <c r="I34" s="101">
        <f>I35+$F$26/2*$D$35</f>
        <v>8.8107250000018773</v>
      </c>
      <c r="J34" s="105">
        <f>J35+$F$26/2*$D$35</f>
        <v>10.346725000001026</v>
      </c>
      <c r="K34" s="101">
        <f>K35+$F$26/2*$D$35</f>
        <v>8.8107250000018773</v>
      </c>
      <c r="L34" s="102"/>
      <c r="M34" s="100">
        <f>M35+$F$26/2*$D$35</f>
        <v>7.2747250000000001</v>
      </c>
      <c r="N34" s="46"/>
    </row>
    <row r="35" spans="4:14" ht="13.5" customHeight="1" x14ac:dyDescent="0.25">
      <c r="D35">
        <v>5.5E-2</v>
      </c>
      <c r="E35" s="161"/>
      <c r="F35" s="71" t="s">
        <v>133</v>
      </c>
      <c r="G35" s="102">
        <f>(G15-$N$15)*12+$Q$22</f>
        <v>7</v>
      </c>
      <c r="H35" s="102"/>
      <c r="I35" s="102">
        <f>(I15-$N$15)*12+$Q$22</f>
        <v>8.5360000000018772</v>
      </c>
      <c r="J35" s="102">
        <f>(J15-$N$15)*12+$Q$22</f>
        <v>10.072000000001026</v>
      </c>
      <c r="K35" s="102">
        <f>(K15-$N$15)*12+$Q$22</f>
        <v>8.5360000000018772</v>
      </c>
      <c r="L35" s="102"/>
      <c r="M35" s="102">
        <f>(M15-$N$15)*12+$Q$22</f>
        <v>7</v>
      </c>
      <c r="N35" s="48"/>
    </row>
    <row r="36" spans="4:14" ht="13.5" customHeight="1" x14ac:dyDescent="0.25">
      <c r="E36" s="162"/>
      <c r="F36" s="103" t="s">
        <v>102</v>
      </c>
      <c r="G36" s="100">
        <f>G35-$F$26/2*$D$35</f>
        <v>6.7252749999999999</v>
      </c>
      <c r="H36" s="104"/>
      <c r="I36" s="100">
        <f>I35-$F$26/2*$D$35</f>
        <v>8.2612750000018771</v>
      </c>
      <c r="J36" s="101">
        <f>J35-$F$26/2*$D$35</f>
        <v>9.7972750000010258</v>
      </c>
      <c r="K36" s="100">
        <f>K35-$F$26/2*$D$35</f>
        <v>8.2612750000018771</v>
      </c>
      <c r="L36" s="104"/>
      <c r="M36" s="100">
        <f>M35-$F$26/2*$D$35</f>
        <v>6.7252749999999999</v>
      </c>
    </row>
    <row r="37" spans="4:14" x14ac:dyDescent="0.25">
      <c r="M37" s="96"/>
    </row>
    <row r="38" spans="4:14" x14ac:dyDescent="0.25">
      <c r="F38" t="s">
        <v>107</v>
      </c>
    </row>
    <row r="39" spans="4:14" x14ac:dyDescent="0.25">
      <c r="E39" t="s">
        <v>110</v>
      </c>
      <c r="F39">
        <v>11</v>
      </c>
      <c r="G39" t="s">
        <v>97</v>
      </c>
    </row>
    <row r="42" spans="4:14" ht="13.5" customHeight="1" x14ac:dyDescent="0.25">
      <c r="D42" t="s">
        <v>105</v>
      </c>
      <c r="E42" s="157" t="s">
        <v>109</v>
      </c>
      <c r="F42" s="158"/>
      <c r="G42" s="158"/>
      <c r="H42" s="158"/>
      <c r="I42" s="158"/>
      <c r="J42" s="158"/>
      <c r="K42" s="158"/>
      <c r="L42" s="158"/>
      <c r="M42" s="159"/>
    </row>
    <row r="43" spans="4:14" ht="13.5" customHeight="1" x14ac:dyDescent="0.25">
      <c r="E43" s="71"/>
      <c r="F43" s="98"/>
      <c r="G43" s="98" t="s">
        <v>60</v>
      </c>
      <c r="H43" s="98"/>
      <c r="I43" s="98" t="s">
        <v>61</v>
      </c>
      <c r="J43" s="99" t="s">
        <v>70</v>
      </c>
      <c r="K43" s="98" t="s">
        <v>71</v>
      </c>
      <c r="L43" s="98"/>
      <c r="M43" s="98" t="s">
        <v>63</v>
      </c>
    </row>
    <row r="44" spans="4:14" ht="13.5" customHeight="1" x14ac:dyDescent="0.25">
      <c r="E44" s="163" t="s">
        <v>64</v>
      </c>
      <c r="F44" s="98" t="s">
        <v>134</v>
      </c>
      <c r="G44" s="101">
        <f>G45-$F$39/2*$D$45</f>
        <v>1.9379999999999999</v>
      </c>
      <c r="H44" s="101"/>
      <c r="I44" s="101">
        <f>I45-$F$39/2*$D$45</f>
        <v>1.9379999999999999</v>
      </c>
      <c r="J44" s="101">
        <f>J45-$F$39/2*$D$45</f>
        <v>1.9379999999999999</v>
      </c>
      <c r="K44" s="101">
        <f>K45-$F$39/2*$D$45</f>
        <v>1.9379999999999999</v>
      </c>
      <c r="L44" s="101"/>
      <c r="M44" s="101">
        <f>M45-$F$39/2*$D$45</f>
        <v>1.9379999999999999</v>
      </c>
    </row>
    <row r="45" spans="4:14" ht="13.5" customHeight="1" x14ac:dyDescent="0.25">
      <c r="D45">
        <v>3.4000000000000002E-2</v>
      </c>
      <c r="E45" s="164"/>
      <c r="F45" s="106" t="s">
        <v>137</v>
      </c>
      <c r="G45" s="107">
        <f>$V$24</f>
        <v>2.125</v>
      </c>
      <c r="H45" s="107"/>
      <c r="I45" s="107">
        <f>$V$24</f>
        <v>2.125</v>
      </c>
      <c r="J45" s="107">
        <f>$V$24</f>
        <v>2.125</v>
      </c>
      <c r="K45" s="107">
        <f>$V$24</f>
        <v>2.125</v>
      </c>
      <c r="L45" s="107"/>
      <c r="M45" s="107">
        <f>$V$24</f>
        <v>2.125</v>
      </c>
    </row>
    <row r="46" spans="4:14" ht="13.5" customHeight="1" x14ac:dyDescent="0.25">
      <c r="E46" s="165"/>
      <c r="F46" s="103" t="s">
        <v>138</v>
      </c>
      <c r="G46" s="101">
        <f>G45+$F$39/2*$D$45</f>
        <v>2.3119999999999998</v>
      </c>
      <c r="H46" s="102"/>
      <c r="I46" s="101">
        <f>I45+$F$39/2*$D$45</f>
        <v>2.3119999999999998</v>
      </c>
      <c r="J46" s="101">
        <f>J45+$F$39/2*$D$45</f>
        <v>2.3119999999999998</v>
      </c>
      <c r="K46" s="101">
        <f>K45+$F$39/2*$D$45</f>
        <v>2.3119999999999998</v>
      </c>
      <c r="L46" s="102"/>
      <c r="M46" s="101">
        <f>M45+$F$39/2*$D$45</f>
        <v>2.3119999999999998</v>
      </c>
    </row>
    <row r="47" spans="4:14" ht="13.5" customHeight="1" x14ac:dyDescent="0.25">
      <c r="E47" s="163" t="s">
        <v>74</v>
      </c>
      <c r="F47" s="98" t="s">
        <v>134</v>
      </c>
      <c r="G47" s="101">
        <f>G48+$F$39/2*$D$48</f>
        <v>2.323</v>
      </c>
      <c r="H47" s="102"/>
      <c r="I47" s="101">
        <f>I48+$F$39/2*$D$48</f>
        <v>2.323</v>
      </c>
      <c r="J47" s="101">
        <f>J48+$F$39/2*$D$48</f>
        <v>2.323</v>
      </c>
      <c r="K47" s="101">
        <f>K48+$F$39/2*$D$48</f>
        <v>2.323</v>
      </c>
      <c r="L47" s="102"/>
      <c r="M47" s="101">
        <f>M48+$F$39/2*$D$48</f>
        <v>2.323</v>
      </c>
    </row>
    <row r="48" spans="4:14" ht="13.5" customHeight="1" x14ac:dyDescent="0.25">
      <c r="D48">
        <v>3.5999999999999997E-2</v>
      </c>
      <c r="E48" s="164"/>
      <c r="F48" s="106" t="s">
        <v>137</v>
      </c>
      <c r="G48" s="107">
        <f>$V$24</f>
        <v>2.125</v>
      </c>
      <c r="H48" s="107"/>
      <c r="I48" s="107">
        <f>$V$24</f>
        <v>2.125</v>
      </c>
      <c r="J48" s="107">
        <f>$V$24</f>
        <v>2.125</v>
      </c>
      <c r="K48" s="107">
        <f>$V$24</f>
        <v>2.125</v>
      </c>
      <c r="L48" s="107"/>
      <c r="M48" s="107">
        <f>$V$24</f>
        <v>2.125</v>
      </c>
    </row>
    <row r="49" spans="4:13" ht="13.5" customHeight="1" x14ac:dyDescent="0.25">
      <c r="E49" s="165"/>
      <c r="F49" s="103" t="s">
        <v>138</v>
      </c>
      <c r="G49" s="101">
        <f>G48-$F$39/2*$D$48</f>
        <v>1.927</v>
      </c>
      <c r="H49" s="110"/>
      <c r="I49" s="101">
        <f>I48-$F$39/2*$D$48</f>
        <v>1.927</v>
      </c>
      <c r="J49" s="101">
        <f>J48-$F$39/2*$D$48</f>
        <v>1.927</v>
      </c>
      <c r="K49" s="101">
        <f>K48-$F$39/2*$D$48</f>
        <v>1.927</v>
      </c>
      <c r="L49" s="110"/>
      <c r="M49" s="101">
        <f>M48-$F$39/2*$D$48</f>
        <v>1.927</v>
      </c>
    </row>
    <row r="51" spans="4:13" x14ac:dyDescent="0.25">
      <c r="F51" t="s">
        <v>107</v>
      </c>
    </row>
    <row r="52" spans="4:13" x14ac:dyDescent="0.25">
      <c r="E52" t="s">
        <v>111</v>
      </c>
      <c r="F52">
        <v>14</v>
      </c>
      <c r="G52" t="s">
        <v>97</v>
      </c>
    </row>
    <row r="55" spans="4:13" ht="13.5" customHeight="1" x14ac:dyDescent="0.25">
      <c r="D55" t="s">
        <v>105</v>
      </c>
      <c r="E55" s="157" t="s">
        <v>113</v>
      </c>
      <c r="F55" s="158"/>
      <c r="G55" s="158"/>
      <c r="H55" s="158"/>
      <c r="I55" s="158"/>
      <c r="J55" s="158"/>
      <c r="K55" s="158"/>
      <c r="L55" s="158"/>
      <c r="M55" s="159"/>
    </row>
    <row r="56" spans="4:13" ht="13.5" customHeight="1" x14ac:dyDescent="0.25">
      <c r="E56" s="71"/>
      <c r="F56" s="98"/>
      <c r="G56" s="98" t="s">
        <v>60</v>
      </c>
      <c r="H56" s="98"/>
      <c r="I56" s="98" t="s">
        <v>61</v>
      </c>
      <c r="J56" s="99" t="s">
        <v>70</v>
      </c>
      <c r="K56" s="98" t="s">
        <v>71</v>
      </c>
      <c r="L56" s="98"/>
      <c r="M56" s="98" t="s">
        <v>63</v>
      </c>
    </row>
    <row r="57" spans="4:13" ht="13.5" customHeight="1" x14ac:dyDescent="0.25">
      <c r="E57" s="163" t="s">
        <v>65</v>
      </c>
      <c r="F57" s="98" t="s">
        <v>135</v>
      </c>
      <c r="G57" s="100">
        <f>G58-$F$52/2*$D$58</f>
        <v>1.7689999999999999</v>
      </c>
      <c r="H57" s="100"/>
      <c r="I57" s="100">
        <f>I58-$F$52/2*$D$58</f>
        <v>1.7689999999999999</v>
      </c>
      <c r="J57" s="100">
        <f>J58-$F$52/2*$D$58</f>
        <v>1.7689999999999999</v>
      </c>
      <c r="K57" s="100">
        <f>K58-$F$52/2*$D$58</f>
        <v>1.7689999999999999</v>
      </c>
      <c r="L57" s="100"/>
      <c r="M57" s="100">
        <f>M58-$F$52/2*$D$58</f>
        <v>1.7689999999999999</v>
      </c>
    </row>
    <row r="58" spans="4:13" ht="13.5" customHeight="1" x14ac:dyDescent="0.25">
      <c r="D58">
        <v>3.3000000000000002E-2</v>
      </c>
      <c r="E58" s="164"/>
      <c r="F58" s="106" t="s">
        <v>132</v>
      </c>
      <c r="G58" s="102">
        <f>$AA$23</f>
        <v>2</v>
      </c>
      <c r="H58" s="102"/>
      <c r="I58" s="102">
        <f>$AA$23</f>
        <v>2</v>
      </c>
      <c r="J58" s="102">
        <f>$AA$23</f>
        <v>2</v>
      </c>
      <c r="K58" s="102">
        <f>$AA$23</f>
        <v>2</v>
      </c>
      <c r="L58" s="102"/>
      <c r="M58" s="102">
        <f>$AA$23</f>
        <v>2</v>
      </c>
    </row>
    <row r="59" spans="4:13" ht="13.5" customHeight="1" x14ac:dyDescent="0.25">
      <c r="E59" s="165"/>
      <c r="F59" s="103" t="s">
        <v>136</v>
      </c>
      <c r="G59" s="100">
        <f>G58+$F$52/2*$D$58</f>
        <v>2.2309999999999999</v>
      </c>
      <c r="H59" s="108"/>
      <c r="I59" s="100">
        <f>I58+$F$52/2*$D$58</f>
        <v>2.2309999999999999</v>
      </c>
      <c r="J59" s="100">
        <f>J58+$F$52/2*$D$58</f>
        <v>2.2309999999999999</v>
      </c>
      <c r="K59" s="100">
        <f>K58+$F$52/2*$D$58</f>
        <v>2.2309999999999999</v>
      </c>
      <c r="L59" s="108"/>
      <c r="M59" s="100">
        <f>M58+$F$52/2*$D$58</f>
        <v>2.2309999999999999</v>
      </c>
    </row>
    <row r="60" spans="4:13" ht="13.5" customHeight="1" x14ac:dyDescent="0.25">
      <c r="E60" s="163" t="s">
        <v>67</v>
      </c>
      <c r="F60" s="98" t="s">
        <v>135</v>
      </c>
      <c r="G60" s="100">
        <f>G61+$F$52/2*$D$61</f>
        <v>2.2450000000000001</v>
      </c>
      <c r="H60" s="108"/>
      <c r="I60" s="100">
        <f>I61+$F$52/2*$D$61</f>
        <v>2.2450000000000001</v>
      </c>
      <c r="J60" s="100">
        <f>J61+$F$52/2*$D$61</f>
        <v>2.2450000000000001</v>
      </c>
      <c r="K60" s="100">
        <f>K61+$F$52/2*$D$61</f>
        <v>2.2450000000000001</v>
      </c>
      <c r="L60" s="108"/>
      <c r="M60" s="100">
        <f>M61+$F$52/2*$D$61</f>
        <v>2.2450000000000001</v>
      </c>
    </row>
    <row r="61" spans="4:13" ht="13.5" customHeight="1" x14ac:dyDescent="0.25">
      <c r="D61">
        <v>3.5000000000000003E-2</v>
      </c>
      <c r="E61" s="164"/>
      <c r="F61" s="106" t="s">
        <v>132</v>
      </c>
      <c r="G61" s="102">
        <f>$AA$23</f>
        <v>2</v>
      </c>
      <c r="H61" s="102"/>
      <c r="I61" s="102">
        <f>$AA$23</f>
        <v>2</v>
      </c>
      <c r="J61" s="102">
        <f>$AA$23</f>
        <v>2</v>
      </c>
      <c r="K61" s="102">
        <f>$AA$23</f>
        <v>2</v>
      </c>
      <c r="L61" s="102"/>
      <c r="M61" s="102">
        <f>$AA$23</f>
        <v>2</v>
      </c>
    </row>
    <row r="62" spans="4:13" ht="13.5" customHeight="1" x14ac:dyDescent="0.25">
      <c r="E62" s="165"/>
      <c r="F62" s="103" t="s">
        <v>136</v>
      </c>
      <c r="G62" s="100">
        <f>G61-$F$52/2*$D$61</f>
        <v>1.7549999999999999</v>
      </c>
      <c r="H62" s="109"/>
      <c r="I62" s="100">
        <f>I61-$F$52/2*$D$61</f>
        <v>1.7549999999999999</v>
      </c>
      <c r="J62" s="100">
        <f>J61-$F$52/2*$D$61</f>
        <v>1.7549999999999999</v>
      </c>
      <c r="K62" s="100">
        <f>K61-$F$52/2*$D$61</f>
        <v>1.7549999999999999</v>
      </c>
      <c r="L62" s="109"/>
      <c r="M62" s="100">
        <f>M61-$F$52/2*$D$61</f>
        <v>1.7549999999999999</v>
      </c>
    </row>
    <row r="69" spans="6:13" ht="18" x14ac:dyDescent="0.25">
      <c r="F69" s="156" t="s">
        <v>112</v>
      </c>
      <c r="G69" s="156"/>
      <c r="H69" s="156"/>
      <c r="I69" s="156"/>
      <c r="J69" s="156"/>
      <c r="K69" s="156"/>
      <c r="L69" s="156"/>
      <c r="M69" s="156"/>
    </row>
    <row r="70" spans="6:13" ht="38.25" x14ac:dyDescent="0.25">
      <c r="F70" s="55"/>
      <c r="G70" s="55" t="s">
        <v>85</v>
      </c>
      <c r="H70" s="55"/>
      <c r="I70" s="55" t="s">
        <v>86</v>
      </c>
      <c r="J70" s="33" t="s">
        <v>79</v>
      </c>
      <c r="K70" s="55" t="s">
        <v>94</v>
      </c>
      <c r="L70" s="55"/>
      <c r="M70" s="55" t="s">
        <v>87</v>
      </c>
    </row>
    <row r="71" spans="6:13" ht="38.25" x14ac:dyDescent="0.25">
      <c r="F71" s="56" t="s">
        <v>95</v>
      </c>
      <c r="G71" s="57">
        <f>(G7-G9)*12</f>
        <v>1.9803999997748178E-2</v>
      </c>
      <c r="H71" s="57"/>
      <c r="I71" s="57">
        <f>(I7-I9)*12</f>
        <v>1.9803999997748178E-2</v>
      </c>
      <c r="J71" s="57">
        <f>(J7-J9)*12</f>
        <v>1.9803999997748178E-2</v>
      </c>
      <c r="K71" s="57">
        <f>(K7-K9)*12</f>
        <v>1.9803999997748178E-2</v>
      </c>
      <c r="L71" s="57"/>
      <c r="M71" s="57">
        <f>(M7-M9)*12</f>
        <v>1.9803999997748178E-2</v>
      </c>
    </row>
    <row r="72" spans="6:13" ht="38.25" x14ac:dyDescent="0.25">
      <c r="F72" s="56" t="s">
        <v>96</v>
      </c>
      <c r="G72" s="57">
        <f>(G13-G11)*12</f>
        <v>-1.7204000001584063E-2</v>
      </c>
      <c r="H72" s="57"/>
      <c r="I72" s="57">
        <f>(I13-I11)*12</f>
        <v>-1.7204000001584063E-2</v>
      </c>
      <c r="J72" s="57">
        <f>(J13-J11)*12</f>
        <v>-1.7204000001584063E-2</v>
      </c>
      <c r="K72" s="57">
        <f>(K13-K11)*12</f>
        <v>-1.7204000001584063E-2</v>
      </c>
      <c r="L72" s="57"/>
      <c r="M72" s="57">
        <f>(M13-M11)*12</f>
        <v>-1.7204000001584063E-2</v>
      </c>
    </row>
    <row r="73" spans="6:13" x14ac:dyDescent="0.25">
      <c r="I73" t="s">
        <v>98</v>
      </c>
      <c r="J73" s="14">
        <f>V24</f>
        <v>2.125</v>
      </c>
      <c r="K73" t="s">
        <v>97</v>
      </c>
    </row>
  </sheetData>
  <mergeCells count="20">
    <mergeCell ref="F2:N2"/>
    <mergeCell ref="F6:F7"/>
    <mergeCell ref="F8:F9"/>
    <mergeCell ref="F10:F11"/>
    <mergeCell ref="F12:F13"/>
    <mergeCell ref="AG4:AL4"/>
    <mergeCell ref="F69:M69"/>
    <mergeCell ref="E29:M29"/>
    <mergeCell ref="E42:M42"/>
    <mergeCell ref="E55:M55"/>
    <mergeCell ref="E31:E33"/>
    <mergeCell ref="E34:E36"/>
    <mergeCell ref="E44:E46"/>
    <mergeCell ref="E47:E49"/>
    <mergeCell ref="E57:E59"/>
    <mergeCell ref="E60:E62"/>
    <mergeCell ref="E6:E9"/>
    <mergeCell ref="E10:E13"/>
    <mergeCell ref="F4:F5"/>
    <mergeCell ref="F14:F15"/>
  </mergeCells>
  <pageMargins left="0.7" right="0.7" top="0.75" bottom="0.75" header="0.3" footer="0.3"/>
  <pageSetup scale="58" orientation="landscape" r:id="rId1"/>
  <headerFooter>
    <oddHeader>&amp;CCalculated by AMT&amp;R4/2/19</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E1:O55"/>
  <sheetViews>
    <sheetView topLeftCell="E1" zoomScaleNormal="100" workbookViewId="0">
      <selection activeCell="M1" sqref="M1"/>
    </sheetView>
  </sheetViews>
  <sheetFormatPr defaultColWidth="20.7109375" defaultRowHeight="17.25" customHeight="1" x14ac:dyDescent="0.25"/>
  <cols>
    <col min="1" max="1" width="3.7109375" style="17" customWidth="1"/>
    <col min="2" max="2" width="5.140625" style="17" customWidth="1"/>
    <col min="3" max="3" width="3.5703125" style="17" customWidth="1"/>
    <col min="4" max="4" width="5.5703125" style="17" customWidth="1"/>
    <col min="5" max="5" width="5.7109375" style="17" customWidth="1"/>
    <col min="6" max="6" width="21.7109375" style="17" customWidth="1"/>
    <col min="7" max="7" width="14.7109375" style="17" customWidth="1"/>
    <col min="8" max="8" width="14.7109375" style="17" hidden="1" customWidth="1"/>
    <col min="9" max="11" width="14.7109375" style="17" customWidth="1"/>
    <col min="12" max="12" width="14.7109375" style="17" hidden="1" customWidth="1"/>
    <col min="13" max="13" width="14.7109375" style="17" customWidth="1"/>
    <col min="14" max="255" width="20.7109375" style="17"/>
    <col min="256" max="256" width="20.85546875" style="17" customWidth="1"/>
    <col min="257" max="265" width="16.42578125" style="17" customWidth="1"/>
    <col min="266" max="511" width="20.7109375" style="17"/>
    <col min="512" max="512" width="20.85546875" style="17" customWidth="1"/>
    <col min="513" max="521" width="16.42578125" style="17" customWidth="1"/>
    <col min="522" max="767" width="20.7109375" style="17"/>
    <col min="768" max="768" width="20.85546875" style="17" customWidth="1"/>
    <col min="769" max="777" width="16.42578125" style="17" customWidth="1"/>
    <col min="778" max="1023" width="20.7109375" style="17"/>
    <col min="1024" max="1024" width="20.85546875" style="17" customWidth="1"/>
    <col min="1025" max="1033" width="16.42578125" style="17" customWidth="1"/>
    <col min="1034" max="1279" width="20.7109375" style="17"/>
    <col min="1280" max="1280" width="20.85546875" style="17" customWidth="1"/>
    <col min="1281" max="1289" width="16.42578125" style="17" customWidth="1"/>
    <col min="1290" max="1535" width="20.7109375" style="17"/>
    <col min="1536" max="1536" width="20.85546875" style="17" customWidth="1"/>
    <col min="1537" max="1545" width="16.42578125" style="17" customWidth="1"/>
    <col min="1546" max="1791" width="20.7109375" style="17"/>
    <col min="1792" max="1792" width="20.85546875" style="17" customWidth="1"/>
    <col min="1793" max="1801" width="16.42578125" style="17" customWidth="1"/>
    <col min="1802" max="2047" width="20.7109375" style="17"/>
    <col min="2048" max="2048" width="20.85546875" style="17" customWidth="1"/>
    <col min="2049" max="2057" width="16.42578125" style="17" customWidth="1"/>
    <col min="2058" max="2303" width="20.7109375" style="17"/>
    <col min="2304" max="2304" width="20.85546875" style="17" customWidth="1"/>
    <col min="2305" max="2313" width="16.42578125" style="17" customWidth="1"/>
    <col min="2314" max="2559" width="20.7109375" style="17"/>
    <col min="2560" max="2560" width="20.85546875" style="17" customWidth="1"/>
    <col min="2561" max="2569" width="16.42578125" style="17" customWidth="1"/>
    <col min="2570" max="2815" width="20.7109375" style="17"/>
    <col min="2816" max="2816" width="20.85546875" style="17" customWidth="1"/>
    <col min="2817" max="2825" width="16.42578125" style="17" customWidth="1"/>
    <col min="2826" max="3071" width="20.7109375" style="17"/>
    <col min="3072" max="3072" width="20.85546875" style="17" customWidth="1"/>
    <col min="3073" max="3081" width="16.42578125" style="17" customWidth="1"/>
    <col min="3082" max="3327" width="20.7109375" style="17"/>
    <col min="3328" max="3328" width="20.85546875" style="17" customWidth="1"/>
    <col min="3329" max="3337" width="16.42578125" style="17" customWidth="1"/>
    <col min="3338" max="3583" width="20.7109375" style="17"/>
    <col min="3584" max="3584" width="20.85546875" style="17" customWidth="1"/>
    <col min="3585" max="3593" width="16.42578125" style="17" customWidth="1"/>
    <col min="3594" max="3839" width="20.7109375" style="17"/>
    <col min="3840" max="3840" width="20.85546875" style="17" customWidth="1"/>
    <col min="3841" max="3849" width="16.42578125" style="17" customWidth="1"/>
    <col min="3850" max="4095" width="20.7109375" style="17"/>
    <col min="4096" max="4096" width="20.85546875" style="17" customWidth="1"/>
    <col min="4097" max="4105" width="16.42578125" style="17" customWidth="1"/>
    <col min="4106" max="4351" width="20.7109375" style="17"/>
    <col min="4352" max="4352" width="20.85546875" style="17" customWidth="1"/>
    <col min="4353" max="4361" width="16.42578125" style="17" customWidth="1"/>
    <col min="4362" max="4607" width="20.7109375" style="17"/>
    <col min="4608" max="4608" width="20.85546875" style="17" customWidth="1"/>
    <col min="4609" max="4617" width="16.42578125" style="17" customWidth="1"/>
    <col min="4618" max="4863" width="20.7109375" style="17"/>
    <col min="4864" max="4864" width="20.85546875" style="17" customWidth="1"/>
    <col min="4865" max="4873" width="16.42578125" style="17" customWidth="1"/>
    <col min="4874" max="5119" width="20.7109375" style="17"/>
    <col min="5120" max="5120" width="20.85546875" style="17" customWidth="1"/>
    <col min="5121" max="5129" width="16.42578125" style="17" customWidth="1"/>
    <col min="5130" max="5375" width="20.7109375" style="17"/>
    <col min="5376" max="5376" width="20.85546875" style="17" customWidth="1"/>
    <col min="5377" max="5385" width="16.42578125" style="17" customWidth="1"/>
    <col min="5386" max="5631" width="20.7109375" style="17"/>
    <col min="5632" max="5632" width="20.85546875" style="17" customWidth="1"/>
    <col min="5633" max="5641" width="16.42578125" style="17" customWidth="1"/>
    <col min="5642" max="5887" width="20.7109375" style="17"/>
    <col min="5888" max="5888" width="20.85546875" style="17" customWidth="1"/>
    <col min="5889" max="5897" width="16.42578125" style="17" customWidth="1"/>
    <col min="5898" max="6143" width="20.7109375" style="17"/>
    <col min="6144" max="6144" width="20.85546875" style="17" customWidth="1"/>
    <col min="6145" max="6153" width="16.42578125" style="17" customWidth="1"/>
    <col min="6154" max="6399" width="20.7109375" style="17"/>
    <col min="6400" max="6400" width="20.85546875" style="17" customWidth="1"/>
    <col min="6401" max="6409" width="16.42578125" style="17" customWidth="1"/>
    <col min="6410" max="6655" width="20.7109375" style="17"/>
    <col min="6656" max="6656" width="20.85546875" style="17" customWidth="1"/>
    <col min="6657" max="6665" width="16.42578125" style="17" customWidth="1"/>
    <col min="6666" max="6911" width="20.7109375" style="17"/>
    <col min="6912" max="6912" width="20.85546875" style="17" customWidth="1"/>
    <col min="6913" max="6921" width="16.42578125" style="17" customWidth="1"/>
    <col min="6922" max="7167" width="20.7109375" style="17"/>
    <col min="7168" max="7168" width="20.85546875" style="17" customWidth="1"/>
    <col min="7169" max="7177" width="16.42578125" style="17" customWidth="1"/>
    <col min="7178" max="7423" width="20.7109375" style="17"/>
    <col min="7424" max="7424" width="20.85546875" style="17" customWidth="1"/>
    <col min="7425" max="7433" width="16.42578125" style="17" customWidth="1"/>
    <col min="7434" max="7679" width="20.7109375" style="17"/>
    <col min="7680" max="7680" width="20.85546875" style="17" customWidth="1"/>
    <col min="7681" max="7689" width="16.42578125" style="17" customWidth="1"/>
    <col min="7690" max="7935" width="20.7109375" style="17"/>
    <col min="7936" max="7936" width="20.85546875" style="17" customWidth="1"/>
    <col min="7937" max="7945" width="16.42578125" style="17" customWidth="1"/>
    <col min="7946" max="8191" width="20.7109375" style="17"/>
    <col min="8192" max="8192" width="20.85546875" style="17" customWidth="1"/>
    <col min="8193" max="8201" width="16.42578125" style="17" customWidth="1"/>
    <col min="8202" max="8447" width="20.7109375" style="17"/>
    <col min="8448" max="8448" width="20.85546875" style="17" customWidth="1"/>
    <col min="8449" max="8457" width="16.42578125" style="17" customWidth="1"/>
    <col min="8458" max="8703" width="20.7109375" style="17"/>
    <col min="8704" max="8704" width="20.85546875" style="17" customWidth="1"/>
    <col min="8705" max="8713" width="16.42578125" style="17" customWidth="1"/>
    <col min="8714" max="8959" width="20.7109375" style="17"/>
    <col min="8960" max="8960" width="20.85546875" style="17" customWidth="1"/>
    <col min="8961" max="8969" width="16.42578125" style="17" customWidth="1"/>
    <col min="8970" max="9215" width="20.7109375" style="17"/>
    <col min="9216" max="9216" width="20.85546875" style="17" customWidth="1"/>
    <col min="9217" max="9225" width="16.42578125" style="17" customWidth="1"/>
    <col min="9226" max="9471" width="20.7109375" style="17"/>
    <col min="9472" max="9472" width="20.85546875" style="17" customWidth="1"/>
    <col min="9473" max="9481" width="16.42578125" style="17" customWidth="1"/>
    <col min="9482" max="9727" width="20.7109375" style="17"/>
    <col min="9728" max="9728" width="20.85546875" style="17" customWidth="1"/>
    <col min="9729" max="9737" width="16.42578125" style="17" customWidth="1"/>
    <col min="9738" max="9983" width="20.7109375" style="17"/>
    <col min="9984" max="9984" width="20.85546875" style="17" customWidth="1"/>
    <col min="9985" max="9993" width="16.42578125" style="17" customWidth="1"/>
    <col min="9994" max="10239" width="20.7109375" style="17"/>
    <col min="10240" max="10240" width="20.85546875" style="17" customWidth="1"/>
    <col min="10241" max="10249" width="16.42578125" style="17" customWidth="1"/>
    <col min="10250" max="10495" width="20.7109375" style="17"/>
    <col min="10496" max="10496" width="20.85546875" style="17" customWidth="1"/>
    <col min="10497" max="10505" width="16.42578125" style="17" customWidth="1"/>
    <col min="10506" max="10751" width="20.7109375" style="17"/>
    <col min="10752" max="10752" width="20.85546875" style="17" customWidth="1"/>
    <col min="10753" max="10761" width="16.42578125" style="17" customWidth="1"/>
    <col min="10762" max="11007" width="20.7109375" style="17"/>
    <col min="11008" max="11008" width="20.85546875" style="17" customWidth="1"/>
    <col min="11009" max="11017" width="16.42578125" style="17" customWidth="1"/>
    <col min="11018" max="11263" width="20.7109375" style="17"/>
    <col min="11264" max="11264" width="20.85546875" style="17" customWidth="1"/>
    <col min="11265" max="11273" width="16.42578125" style="17" customWidth="1"/>
    <col min="11274" max="11519" width="20.7109375" style="17"/>
    <col min="11520" max="11520" width="20.85546875" style="17" customWidth="1"/>
    <col min="11521" max="11529" width="16.42578125" style="17" customWidth="1"/>
    <col min="11530" max="11775" width="20.7109375" style="17"/>
    <col min="11776" max="11776" width="20.85546875" style="17" customWidth="1"/>
    <col min="11777" max="11785" width="16.42578125" style="17" customWidth="1"/>
    <col min="11786" max="12031" width="20.7109375" style="17"/>
    <col min="12032" max="12032" width="20.85546875" style="17" customWidth="1"/>
    <col min="12033" max="12041" width="16.42578125" style="17" customWidth="1"/>
    <col min="12042" max="12287" width="20.7109375" style="17"/>
    <col min="12288" max="12288" width="20.85546875" style="17" customWidth="1"/>
    <col min="12289" max="12297" width="16.42578125" style="17" customWidth="1"/>
    <col min="12298" max="12543" width="20.7109375" style="17"/>
    <col min="12544" max="12544" width="20.85546875" style="17" customWidth="1"/>
    <col min="12545" max="12553" width="16.42578125" style="17" customWidth="1"/>
    <col min="12554" max="12799" width="20.7109375" style="17"/>
    <col min="12800" max="12800" width="20.85546875" style="17" customWidth="1"/>
    <col min="12801" max="12809" width="16.42578125" style="17" customWidth="1"/>
    <col min="12810" max="13055" width="20.7109375" style="17"/>
    <col min="13056" max="13056" width="20.85546875" style="17" customWidth="1"/>
    <col min="13057" max="13065" width="16.42578125" style="17" customWidth="1"/>
    <col min="13066" max="13311" width="20.7109375" style="17"/>
    <col min="13312" max="13312" width="20.85546875" style="17" customWidth="1"/>
    <col min="13313" max="13321" width="16.42578125" style="17" customWidth="1"/>
    <col min="13322" max="13567" width="20.7109375" style="17"/>
    <col min="13568" max="13568" width="20.85546875" style="17" customWidth="1"/>
    <col min="13569" max="13577" width="16.42578125" style="17" customWidth="1"/>
    <col min="13578" max="13823" width="20.7109375" style="17"/>
    <col min="13824" max="13824" width="20.85546875" style="17" customWidth="1"/>
    <col min="13825" max="13833" width="16.42578125" style="17" customWidth="1"/>
    <col min="13834" max="14079" width="20.7109375" style="17"/>
    <col min="14080" max="14080" width="20.85546875" style="17" customWidth="1"/>
    <col min="14081" max="14089" width="16.42578125" style="17" customWidth="1"/>
    <col min="14090" max="14335" width="20.7109375" style="17"/>
    <col min="14336" max="14336" width="20.85546875" style="17" customWidth="1"/>
    <col min="14337" max="14345" width="16.42578125" style="17" customWidth="1"/>
    <col min="14346" max="14591" width="20.7109375" style="17"/>
    <col min="14592" max="14592" width="20.85546875" style="17" customWidth="1"/>
    <col min="14593" max="14601" width="16.42578125" style="17" customWidth="1"/>
    <col min="14602" max="14847" width="20.7109375" style="17"/>
    <col min="14848" max="14848" width="20.85546875" style="17" customWidth="1"/>
    <col min="14849" max="14857" width="16.42578125" style="17" customWidth="1"/>
    <col min="14858" max="15103" width="20.7109375" style="17"/>
    <col min="15104" max="15104" width="20.85546875" style="17" customWidth="1"/>
    <col min="15105" max="15113" width="16.42578125" style="17" customWidth="1"/>
    <col min="15114" max="15359" width="20.7109375" style="17"/>
    <col min="15360" max="15360" width="20.85546875" style="17" customWidth="1"/>
    <col min="15361" max="15369" width="16.42578125" style="17" customWidth="1"/>
    <col min="15370" max="15615" width="20.7109375" style="17"/>
    <col min="15616" max="15616" width="20.85546875" style="17" customWidth="1"/>
    <col min="15617" max="15625" width="16.42578125" style="17" customWidth="1"/>
    <col min="15626" max="15871" width="20.7109375" style="17"/>
    <col min="15872" max="15872" width="20.85546875" style="17" customWidth="1"/>
    <col min="15873" max="15881" width="16.42578125" style="17" customWidth="1"/>
    <col min="15882" max="16127" width="20.7109375" style="17"/>
    <col min="16128" max="16128" width="20.85546875" style="17" customWidth="1"/>
    <col min="16129" max="16137" width="16.42578125" style="17" customWidth="1"/>
    <col min="16138" max="16384" width="20.7109375" style="17"/>
  </cols>
  <sheetData>
    <row r="1" spans="5:15" ht="17.25" customHeight="1" thickBot="1" x14ac:dyDescent="0.3"/>
    <row r="2" spans="5:15" ht="22.9" customHeight="1" thickBot="1" x14ac:dyDescent="0.3">
      <c r="E2" s="137" t="s">
        <v>32</v>
      </c>
      <c r="F2" s="138"/>
      <c r="G2" s="138"/>
      <c r="H2" s="138"/>
      <c r="I2" s="138"/>
      <c r="J2" s="138"/>
      <c r="K2" s="138"/>
      <c r="L2" s="138"/>
      <c r="M2" s="172"/>
    </row>
    <row r="3" spans="5:15" s="19" customFormat="1" ht="42.75" customHeight="1" thickBot="1" x14ac:dyDescent="0.3">
      <c r="E3" s="18"/>
      <c r="F3" s="58" t="s">
        <v>0</v>
      </c>
      <c r="G3" s="39" t="s">
        <v>60</v>
      </c>
      <c r="H3" s="77"/>
      <c r="I3" s="39" t="s">
        <v>61</v>
      </c>
      <c r="J3" s="76" t="s">
        <v>79</v>
      </c>
      <c r="K3" s="39" t="s">
        <v>71</v>
      </c>
      <c r="L3" s="77"/>
      <c r="M3" s="39" t="s">
        <v>63</v>
      </c>
    </row>
    <row r="4" spans="5:15" s="19" customFormat="1" ht="12.75" customHeight="1" thickBot="1" x14ac:dyDescent="0.3">
      <c r="E4" s="176" t="s">
        <v>22</v>
      </c>
      <c r="F4" s="180" t="s">
        <v>72</v>
      </c>
      <c r="G4" s="40">
        <f>'Final Deck Calc'!G4</f>
        <v>913.54</v>
      </c>
      <c r="H4" s="78"/>
      <c r="I4" s="40">
        <f>'Final Deck Calc'!I4</f>
        <v>913.54</v>
      </c>
      <c r="J4" s="40">
        <f>'Final Deck Calc'!J4</f>
        <v>913.54</v>
      </c>
      <c r="K4" s="40">
        <f>'Final Deck Calc'!K4</f>
        <v>913.54</v>
      </c>
      <c r="L4" s="78"/>
      <c r="M4" s="64">
        <f>'Final Deck Calc'!M4</f>
        <v>913.54</v>
      </c>
      <c r="O4" s="19" t="s">
        <v>117</v>
      </c>
    </row>
    <row r="5" spans="5:15" s="19" customFormat="1" ht="12.75" customHeight="1" thickBot="1" x14ac:dyDescent="0.25">
      <c r="E5" s="177"/>
      <c r="F5" s="181"/>
      <c r="G5" s="63">
        <f>'Final Deck Calc'!G5+'deflection summary'!E5/12+'deflection summary'!G5/12-8.5/12-$O$5</f>
        <v>1047.3909806066665</v>
      </c>
      <c r="H5" s="78"/>
      <c r="I5" s="63">
        <f>'Final Deck Calc'!I5+'deflection summary'!F5/12+'deflection summary'!H5/12-8.5/12</f>
        <v>1047.5189806066667</v>
      </c>
      <c r="J5" s="63">
        <f>'Final Deck Calc'!J5+'deflection summary'!F5/12+'deflection summary'!H5/12-8.5/12</f>
        <v>1047.6469806066666</v>
      </c>
      <c r="K5" s="63">
        <f>'Final Deck Calc'!K5+'deflection summary'!F5/12+'deflection summary'!H5/12-8.5/12</f>
        <v>1047.5189806066667</v>
      </c>
      <c r="L5" s="78"/>
      <c r="M5" s="63">
        <f>'Final Deck Calc'!M5+'deflection summary'!E5/12+'deflection summary'!G5/12-8.5/12-$O$5</f>
        <v>1047.3909806066665</v>
      </c>
      <c r="O5" s="19">
        <f>4*0.016</f>
        <v>6.4000000000000001E-2</v>
      </c>
    </row>
    <row r="6" spans="5:15" s="19" customFormat="1" ht="12.75" customHeight="1" thickBot="1" x14ac:dyDescent="0.3">
      <c r="E6" s="177"/>
      <c r="F6" s="173">
        <v>0.25</v>
      </c>
      <c r="G6" s="40">
        <f>'Final Deck Calc'!G6</f>
        <v>920.10249999999996</v>
      </c>
      <c r="H6" s="78"/>
      <c r="I6" s="40">
        <f>'Final Deck Calc'!I6</f>
        <v>920.10249999999996</v>
      </c>
      <c r="J6" s="40">
        <f>'Final Deck Calc'!J6</f>
        <v>920.10249999999996</v>
      </c>
      <c r="K6" s="40">
        <f>'Final Deck Calc'!K6</f>
        <v>920.10249999999996</v>
      </c>
      <c r="L6" s="78"/>
      <c r="M6" s="40">
        <f>'Final Deck Calc'!M6</f>
        <v>920.10249999999996</v>
      </c>
    </row>
    <row r="7" spans="5:15" s="19" customFormat="1" ht="12.75" customHeight="1" thickBot="1" x14ac:dyDescent="0.25">
      <c r="E7" s="177"/>
      <c r="F7" s="174"/>
      <c r="G7" s="63">
        <f>'Final Deck Calc'!G7+'deflection summary'!E7/12+'deflection summary'!G7/12-8.5/12-$O$5</f>
        <v>1047.722832989479</v>
      </c>
      <c r="H7" s="78"/>
      <c r="I7" s="63">
        <f>'Final Deck Calc'!I7+'deflection summary'!F7/12+'deflection summary'!H7/12-8.5/12</f>
        <v>1047.8510413228125</v>
      </c>
      <c r="J7" s="63">
        <f>'Final Deck Calc'!J7+'deflection summary'!F7/12+'deflection summary'!H7/12-8.5/12</f>
        <v>1047.9790413228125</v>
      </c>
      <c r="K7" s="63">
        <f>'Final Deck Calc'!K7+'deflection summary'!F7/12+'deflection summary'!H7/12-8.5/12</f>
        <v>1047.8510413228125</v>
      </c>
      <c r="L7" s="78"/>
      <c r="M7" s="63">
        <f>'Final Deck Calc'!M7+'deflection summary'!E7/12+'deflection summary'!G7/12-8.5/12-$O$5</f>
        <v>1047.722832989479</v>
      </c>
    </row>
    <row r="8" spans="5:15" s="19" customFormat="1" ht="12.75" customHeight="1" thickBot="1" x14ac:dyDescent="0.3">
      <c r="E8" s="177"/>
      <c r="F8" s="173">
        <v>0.5</v>
      </c>
      <c r="G8" s="40">
        <f>'Final Deck Calc'!G8</f>
        <v>926.66499999999996</v>
      </c>
      <c r="H8" s="78"/>
      <c r="I8" s="40">
        <f>'Final Deck Calc'!I8</f>
        <v>926.66499999999996</v>
      </c>
      <c r="J8" s="40">
        <f>'Final Deck Calc'!J8</f>
        <v>926.66499999999996</v>
      </c>
      <c r="K8" s="40">
        <f>'Final Deck Calc'!K8</f>
        <v>926.66499999999996</v>
      </c>
      <c r="L8" s="78"/>
      <c r="M8" s="40">
        <f>'Final Deck Calc'!M8</f>
        <v>926.66499999999996</v>
      </c>
    </row>
    <row r="9" spans="5:15" s="19" customFormat="1" ht="12.75" customHeight="1" thickBot="1" x14ac:dyDescent="0.25">
      <c r="E9" s="177"/>
      <c r="F9" s="174"/>
      <c r="G9" s="63">
        <f>'Final Deck Calc'!G9+'deflection summary'!E9/12+'deflection summary'!G9/12-8.5/12-$O$5</f>
        <v>1048.0232055545832</v>
      </c>
      <c r="H9" s="78"/>
      <c r="I9" s="63">
        <f>'Final Deck Calc'!I9+'deflection summary'!F9/12+'deflection summary'!H9/12-8.5/12</f>
        <v>1048.1515388879168</v>
      </c>
      <c r="J9" s="63">
        <f>'Final Deck Calc'!J9+'deflection summary'!F9/12+'deflection summary'!H9/12-8.5/12</f>
        <v>1048.2795388879167</v>
      </c>
      <c r="K9" s="63">
        <f>'Final Deck Calc'!K9+'deflection summary'!F9/12+'deflection summary'!H9/12-8.5/12</f>
        <v>1048.1515388879168</v>
      </c>
      <c r="L9" s="78"/>
      <c r="M9" s="63">
        <f>'Final Deck Calc'!M9+'deflection summary'!E9/12+'deflection summary'!G9/12-8.5/12-$O$5</f>
        <v>1048.0232055545832</v>
      </c>
    </row>
    <row r="10" spans="5:15" s="19" customFormat="1" ht="12.75" customHeight="1" thickBot="1" x14ac:dyDescent="0.3">
      <c r="E10" s="177"/>
      <c r="F10" s="173">
        <v>0.75</v>
      </c>
      <c r="G10" s="40">
        <f>'Final Deck Calc'!G10</f>
        <v>933.22749999999996</v>
      </c>
      <c r="H10" s="78"/>
      <c r="I10" s="40">
        <f>'Final Deck Calc'!I10</f>
        <v>933.22749999999996</v>
      </c>
      <c r="J10" s="40">
        <f>'Final Deck Calc'!J10</f>
        <v>933.22749999999996</v>
      </c>
      <c r="K10" s="40">
        <f>'Final Deck Calc'!K10</f>
        <v>933.22749999999996</v>
      </c>
      <c r="L10" s="78"/>
      <c r="M10" s="40">
        <f>'Final Deck Calc'!M10</f>
        <v>933.22749999999996</v>
      </c>
    </row>
    <row r="11" spans="5:15" s="19" customFormat="1" ht="12.75" customHeight="1" thickBot="1" x14ac:dyDescent="0.25">
      <c r="E11" s="177"/>
      <c r="F11" s="174"/>
      <c r="G11" s="63">
        <f>'Final Deck Calc'!G11+'deflection summary'!E11/12+'deflection summary'!G11/12-8.5/12-$O$5</f>
        <v>1048.2916399686455</v>
      </c>
      <c r="H11" s="78"/>
      <c r="I11" s="63">
        <f>'Final Deck Calc'!I11+'deflection summary'!F11/12+'deflection summary'!H11/12-8.5/12</f>
        <v>1048.4198066353126</v>
      </c>
      <c r="J11" s="63">
        <f>'Final Deck Calc'!J11+'deflection summary'!F11/12+'deflection summary'!H11/12-8.5/12</f>
        <v>1048.5478066353126</v>
      </c>
      <c r="K11" s="63">
        <f>'Final Deck Calc'!K11+'deflection summary'!F11/12+'deflection summary'!H11/12-8.5/12</f>
        <v>1048.4198066353126</v>
      </c>
      <c r="L11" s="78"/>
      <c r="M11" s="63">
        <f>'Final Deck Calc'!M11+'deflection summary'!E11/12+'deflection summary'!G11/12-8.5/12-$O$5</f>
        <v>1048.2916399686455</v>
      </c>
    </row>
    <row r="12" spans="5:15" s="19" customFormat="1" ht="12.75" customHeight="1" thickBot="1" x14ac:dyDescent="0.3">
      <c r="E12" s="177"/>
      <c r="F12" s="175" t="s">
        <v>64</v>
      </c>
      <c r="G12" s="40">
        <f>'Final Deck Calc'!G12</f>
        <v>939.79</v>
      </c>
      <c r="H12" s="78"/>
      <c r="I12" s="40">
        <f>'Final Deck Calc'!I12</f>
        <v>939.79</v>
      </c>
      <c r="J12" s="40">
        <f>'Final Deck Calc'!J12</f>
        <v>939.79</v>
      </c>
      <c r="K12" s="40">
        <f>'Final Deck Calc'!K12</f>
        <v>939.79</v>
      </c>
      <c r="L12" s="78"/>
      <c r="M12" s="40">
        <f>'Final Deck Calc'!M12</f>
        <v>939.79</v>
      </c>
    </row>
    <row r="13" spans="5:15" s="19" customFormat="1" ht="12.75" customHeight="1" thickBot="1" x14ac:dyDescent="0.25">
      <c r="E13" s="178"/>
      <c r="F13" s="174"/>
      <c r="G13" s="63">
        <f>'Final Deck Calc'!G13+'deflection summary'!E13/12+'deflection summary'!G13/12-8.5/12-$O$5</f>
        <v>1048.5285112316665</v>
      </c>
      <c r="H13" s="78"/>
      <c r="I13" s="63">
        <f>'Final Deck Calc'!I13+'deflection summary'!F13/12+'deflection summary'!H13/12-8.5/12</f>
        <v>1048.6565112316666</v>
      </c>
      <c r="J13" s="63">
        <f>'Final Deck Calc'!J13+'deflection summary'!F13/12+'deflection summary'!H13/12-8.5/12</f>
        <v>1048.7845112316666</v>
      </c>
      <c r="K13" s="63">
        <f>'Final Deck Calc'!K13+'deflection summary'!F13/12+'deflection summary'!H13/12-8.5/12</f>
        <v>1048.6565112316666</v>
      </c>
      <c r="L13" s="78"/>
      <c r="M13" s="63">
        <f>'Final Deck Calc'!M13+'deflection summary'!E13/12+'deflection summary'!G13/12-8.5/12-$O$5</f>
        <v>1048.5285112316665</v>
      </c>
    </row>
    <row r="14" spans="5:15" s="21" customFormat="1" ht="12.75" customHeight="1" x14ac:dyDescent="0.25">
      <c r="E14" s="126" t="s">
        <v>58</v>
      </c>
      <c r="F14" s="165" t="s">
        <v>65</v>
      </c>
      <c r="G14" s="40">
        <f>'Final Deck Calc'!G14</f>
        <v>941.29</v>
      </c>
      <c r="H14" s="79"/>
      <c r="I14" s="40">
        <f>'Final Deck Calc'!I14</f>
        <v>941.29</v>
      </c>
      <c r="J14" s="40">
        <f>'Final Deck Calc'!J14</f>
        <v>941.29</v>
      </c>
      <c r="K14" s="40">
        <f>'Final Deck Calc'!K14</f>
        <v>941.29</v>
      </c>
      <c r="L14" s="79"/>
      <c r="M14" s="40">
        <f>'Final Deck Calc'!M14</f>
        <v>941.29</v>
      </c>
    </row>
    <row r="15" spans="5:15" s="23" customFormat="1" ht="12.75" customHeight="1" thickBot="1" x14ac:dyDescent="0.25">
      <c r="E15" s="127"/>
      <c r="F15" s="113"/>
      <c r="G15" s="63">
        <f>'Final Deck Calc'!G15+'deflection summary'!E15/12+'deflection summary'!G15/12-8.5/12-$O$5</f>
        <v>1048.5789442316666</v>
      </c>
      <c r="H15" s="62"/>
      <c r="I15" s="63">
        <f>'Final Deck Calc'!I15+'deflection summary'!F15/12+'deflection summary'!H15/12-8.5/12</f>
        <v>1048.7069442316667</v>
      </c>
      <c r="J15" s="63">
        <f>'Final Deck Calc'!J15+'deflection summary'!F15/12+'deflection summary'!H15/12-8.5/12</f>
        <v>1048.8349442316667</v>
      </c>
      <c r="K15" s="63">
        <f>'Final Deck Calc'!K15+'deflection summary'!F15/12+'deflection summary'!H15/12-8.5/12</f>
        <v>1048.7069442316667</v>
      </c>
      <c r="L15" s="62"/>
      <c r="M15" s="63">
        <f>'Final Deck Calc'!M15+'deflection summary'!E15/12+'deflection summary'!G15/12-8.5/12-$O$5</f>
        <v>1048.5789442316666</v>
      </c>
    </row>
    <row r="16" spans="5:15" s="21" customFormat="1" ht="12.75" customHeight="1" x14ac:dyDescent="0.25">
      <c r="E16" s="127"/>
      <c r="F16" s="173">
        <v>0.1</v>
      </c>
      <c r="G16" s="40">
        <f>'Final Deck Calc'!G16</f>
        <v>951.04</v>
      </c>
      <c r="H16" s="79"/>
      <c r="I16" s="40">
        <f>'Final Deck Calc'!I16</f>
        <v>951.04</v>
      </c>
      <c r="J16" s="40">
        <f>'Final Deck Calc'!J16</f>
        <v>951.04</v>
      </c>
      <c r="K16" s="40">
        <f>'Final Deck Calc'!K16</f>
        <v>951.04</v>
      </c>
      <c r="L16" s="79"/>
      <c r="M16" s="40">
        <f>'Final Deck Calc'!M16</f>
        <v>951.04</v>
      </c>
    </row>
    <row r="17" spans="5:13" s="23" customFormat="1" ht="12.75" customHeight="1" thickBot="1" x14ac:dyDescent="0.25">
      <c r="E17" s="127"/>
      <c r="F17" s="174"/>
      <c r="G17" s="63">
        <f>'Final Deck Calc'!G17+'deflection summary'!E17/12+'deflection summary'!G17/12-8.5/12-$O$5</f>
        <v>1048.9407847733335</v>
      </c>
      <c r="H17" s="62"/>
      <c r="I17" s="63">
        <f>'Final Deck Calc'!I17+'deflection summary'!F17/12+'deflection summary'!H17/12-8.5/12</f>
        <v>1049.07395144</v>
      </c>
      <c r="J17" s="63">
        <f>'Final Deck Calc'!J17+'deflection summary'!F17/12+'deflection summary'!H17/12-8.5/12</f>
        <v>1049.2019514399999</v>
      </c>
      <c r="K17" s="63">
        <f>'Final Deck Calc'!K17+'deflection summary'!F17/12+'deflection summary'!H17/12-8.5/12</f>
        <v>1049.07395144</v>
      </c>
      <c r="L17" s="62"/>
      <c r="M17" s="63">
        <f>'Final Deck Calc'!M17+'deflection summary'!E17/12+'deflection summary'!G17/12-8.5/12-$O$5</f>
        <v>1048.9407847733335</v>
      </c>
    </row>
    <row r="18" spans="5:13" s="23" customFormat="1" ht="12.75" customHeight="1" x14ac:dyDescent="0.2">
      <c r="E18" s="127"/>
      <c r="F18" s="173">
        <v>0.2</v>
      </c>
      <c r="G18" s="40">
        <f>'Final Deck Calc'!G18</f>
        <v>960.79</v>
      </c>
      <c r="H18" s="79"/>
      <c r="I18" s="40">
        <f>'Final Deck Calc'!I18</f>
        <v>960.79</v>
      </c>
      <c r="J18" s="40">
        <f>'Final Deck Calc'!J18</f>
        <v>960.79</v>
      </c>
      <c r="K18" s="40">
        <f>'Final Deck Calc'!K18</f>
        <v>960.79</v>
      </c>
      <c r="L18" s="79"/>
      <c r="M18" s="40">
        <f>'Final Deck Calc'!M18</f>
        <v>960.79</v>
      </c>
    </row>
    <row r="19" spans="5:13" s="23" customFormat="1" ht="12.75" customHeight="1" thickBot="1" x14ac:dyDescent="0.25">
      <c r="E19" s="127"/>
      <c r="F19" s="174"/>
      <c r="G19" s="63">
        <f>'Final Deck Calc'!G19+'deflection summary'!E19/12+'deflection summary'!G19/12-8.5/12-$O$5</f>
        <v>1049.2284148983333</v>
      </c>
      <c r="H19" s="62"/>
      <c r="I19" s="63">
        <f>'Final Deck Calc'!I19+'deflection summary'!F19/12+'deflection summary'!H19/12-8.5/12</f>
        <v>1049.3659982316667</v>
      </c>
      <c r="J19" s="63">
        <f>'Final Deck Calc'!J19+'deflection summary'!F19/12+'deflection summary'!H19/12-8.5/12</f>
        <v>1049.4939982316666</v>
      </c>
      <c r="K19" s="63">
        <f>'Final Deck Calc'!K19+'deflection summary'!F19/12+'deflection summary'!H19/12-8.5/12</f>
        <v>1049.3659982316667</v>
      </c>
      <c r="L19" s="62"/>
      <c r="M19" s="63">
        <f>'Final Deck Calc'!M19+'deflection summary'!E19/12+'deflection summary'!G19/12-8.5/12-$O$5</f>
        <v>1049.2284148983333</v>
      </c>
    </row>
    <row r="20" spans="5:13" s="23" customFormat="1" ht="12.75" customHeight="1" x14ac:dyDescent="0.2">
      <c r="E20" s="127"/>
      <c r="F20" s="173">
        <v>0.3</v>
      </c>
      <c r="G20" s="40">
        <f>'Final Deck Calc'!G20</f>
        <v>970.54</v>
      </c>
      <c r="H20" s="79"/>
      <c r="I20" s="40">
        <f>'Final Deck Calc'!I20</f>
        <v>970.54</v>
      </c>
      <c r="J20" s="40">
        <f>'Final Deck Calc'!J20</f>
        <v>970.54</v>
      </c>
      <c r="K20" s="40">
        <f>'Final Deck Calc'!K20</f>
        <v>970.54</v>
      </c>
      <c r="L20" s="79"/>
      <c r="M20" s="40">
        <f>'Final Deck Calc'!M20</f>
        <v>970.54</v>
      </c>
    </row>
    <row r="21" spans="5:13" s="23" customFormat="1" ht="12.75" customHeight="1" thickBot="1" x14ac:dyDescent="0.25">
      <c r="E21" s="127"/>
      <c r="F21" s="174"/>
      <c r="G21" s="63">
        <f>'Final Deck Calc'!G21+'deflection summary'!E21/12+'deflection summary'!G21/12-8.5/12-$O$5</f>
        <v>1049.4352512733333</v>
      </c>
      <c r="H21" s="62"/>
      <c r="I21" s="63">
        <f>'Final Deck Calc'!I21+'deflection summary'!F21/12+'deflection summary'!H21/12-8.5/12</f>
        <v>1049.5765846066668</v>
      </c>
      <c r="J21" s="63">
        <f>'Final Deck Calc'!J21+'deflection summary'!F21/12+'deflection summary'!H21/12-8.5/12</f>
        <v>1049.7045846066667</v>
      </c>
      <c r="K21" s="63">
        <f>'Final Deck Calc'!K21+'deflection summary'!F21/12+'deflection summary'!H21/12-8.5/12</f>
        <v>1049.5765846066668</v>
      </c>
      <c r="L21" s="62"/>
      <c r="M21" s="63">
        <f>'Final Deck Calc'!M21+'deflection summary'!E21/12+'deflection summary'!G21/12-8.5/12-$O$5</f>
        <v>1049.4352512733333</v>
      </c>
    </row>
    <row r="22" spans="5:13" s="23" customFormat="1" ht="12.75" customHeight="1" x14ac:dyDescent="0.2">
      <c r="E22" s="127"/>
      <c r="F22" s="113" t="s">
        <v>75</v>
      </c>
      <c r="G22" s="40">
        <f>'Final Deck Calc'!G22</f>
        <v>973.79</v>
      </c>
      <c r="H22" s="62"/>
      <c r="I22" s="40">
        <f>'Final Deck Calc'!I22</f>
        <v>973.79</v>
      </c>
      <c r="J22" s="40">
        <f>'Final Deck Calc'!J22</f>
        <v>973.79</v>
      </c>
      <c r="K22" s="40">
        <f>'Final Deck Calc'!K22</f>
        <v>973.79</v>
      </c>
      <c r="L22" s="62"/>
      <c r="M22" s="40">
        <f>'Final Deck Calc'!M22</f>
        <v>973.79</v>
      </c>
    </row>
    <row r="23" spans="5:13" s="23" customFormat="1" ht="12.75" customHeight="1" thickBot="1" x14ac:dyDescent="0.25">
      <c r="E23" s="127"/>
      <c r="F23" s="113"/>
      <c r="G23" s="63">
        <f>'Final Deck Calc'!G23+'deflection summary'!E23/12+'deflection summary'!G23/12-8.5/12-$O$5</f>
        <v>1049.4834075309866</v>
      </c>
      <c r="H23" s="62"/>
      <c r="I23" s="63">
        <f>'Final Deck Calc'!I23+'deflection summary'!F23/12+'deflection summary'!H23/12-8.5/12</f>
        <v>1049.6254704561566</v>
      </c>
      <c r="J23" s="63">
        <f>'Final Deck Calc'!J23+'deflection summary'!F23/12+'deflection summary'!H23/12-8.5/12</f>
        <v>1049.7534704561565</v>
      </c>
      <c r="K23" s="63">
        <f>'Final Deck Calc'!K23+'deflection summary'!F23/12+'deflection summary'!H23/12-8.5/12</f>
        <v>1049.6254704561566</v>
      </c>
      <c r="L23" s="62"/>
      <c r="M23" s="63">
        <f>'Final Deck Calc'!M23+'deflection summary'!E23/12+'deflection summary'!G23/12-8.5/12-$O$5</f>
        <v>1049.4834075309866</v>
      </c>
    </row>
    <row r="24" spans="5:13" s="23" customFormat="1" ht="12.75" customHeight="1" x14ac:dyDescent="0.2">
      <c r="E24" s="127"/>
      <c r="F24" s="173">
        <v>0.4</v>
      </c>
      <c r="G24" s="40">
        <f>'Final Deck Calc'!G24</f>
        <v>980.29</v>
      </c>
      <c r="H24" s="79"/>
      <c r="I24" s="40">
        <f>'Final Deck Calc'!I24</f>
        <v>980.29</v>
      </c>
      <c r="J24" s="40">
        <f>'Final Deck Calc'!J24</f>
        <v>980.29</v>
      </c>
      <c r="K24" s="40">
        <f>'Final Deck Calc'!K24</f>
        <v>980.29</v>
      </c>
      <c r="L24" s="79"/>
      <c r="M24" s="40">
        <f>'Final Deck Calc'!M24</f>
        <v>980.29</v>
      </c>
    </row>
    <row r="25" spans="5:13" s="23" customFormat="1" ht="12.75" customHeight="1" thickBot="1" x14ac:dyDescent="0.25">
      <c r="E25" s="127"/>
      <c r="F25" s="174"/>
      <c r="G25" s="63">
        <f>'Final Deck Calc'!G25+'deflection summary'!E25/12+'deflection summary'!G25/12-8.5/12-$O$5</f>
        <v>1049.5572105649999</v>
      </c>
      <c r="H25" s="62"/>
      <c r="I25" s="63">
        <f>'Final Deck Calc'!I25+'deflection summary'!F25/12+'deflection summary'!H25/12-8.5/12</f>
        <v>1049.700710565</v>
      </c>
      <c r="J25" s="63">
        <f>'Final Deck Calc'!J25+'deflection summary'!F25/12+'deflection summary'!H25/12-8.5/12</f>
        <v>1049.8287105649999</v>
      </c>
      <c r="K25" s="63">
        <f>'Final Deck Calc'!K25+'deflection summary'!F25/12+'deflection summary'!H25/12-8.5/12</f>
        <v>1049.700710565</v>
      </c>
      <c r="L25" s="62"/>
      <c r="M25" s="63">
        <f>'Final Deck Calc'!M25+'deflection summary'!E25/12+'deflection summary'!G25/12-8.5/12-$O$5</f>
        <v>1049.5572105649999</v>
      </c>
    </row>
    <row r="26" spans="5:13" s="21" customFormat="1" ht="12.75" customHeight="1" x14ac:dyDescent="0.25">
      <c r="E26" s="127"/>
      <c r="F26" s="173">
        <v>0.5</v>
      </c>
      <c r="G26" s="40">
        <f>'Final Deck Calc'!G26</f>
        <v>990.04</v>
      </c>
      <c r="H26" s="79"/>
      <c r="I26" s="40">
        <f>'Final Deck Calc'!I26</f>
        <v>990.04</v>
      </c>
      <c r="J26" s="40">
        <f>'Final Deck Calc'!J26</f>
        <v>990.04</v>
      </c>
      <c r="K26" s="40">
        <f>'Final Deck Calc'!K26</f>
        <v>990.04</v>
      </c>
      <c r="L26" s="79"/>
      <c r="M26" s="40">
        <f>'Final Deck Calc'!M26</f>
        <v>990.04</v>
      </c>
    </row>
    <row r="27" spans="5:13" s="23" customFormat="1" ht="12.75" customHeight="1" thickBot="1" x14ac:dyDescent="0.25">
      <c r="E27" s="127"/>
      <c r="F27" s="174"/>
      <c r="G27" s="63">
        <f>'Final Deck Calc'!G27+'deflection summary'!E27/12+'deflection summary'!G27/12-8.5/12-$O$5</f>
        <v>1049.5914594399999</v>
      </c>
      <c r="H27" s="62"/>
      <c r="I27" s="63">
        <f>'Final Deck Calc'!I27+'deflection summary'!F27/12+'deflection summary'!H27/12-8.5/12</f>
        <v>1049.7357927733335</v>
      </c>
      <c r="J27" s="63">
        <f>'Final Deck Calc'!J27+'deflection summary'!F27/12+'deflection summary'!H27/12-8.5/12</f>
        <v>1049.8637927733334</v>
      </c>
      <c r="K27" s="63">
        <f>'Final Deck Calc'!K27+'deflection summary'!F27/12+'deflection summary'!H27/12-8.5/12</f>
        <v>1049.7357927733335</v>
      </c>
      <c r="L27" s="62"/>
      <c r="M27" s="63">
        <f>'Final Deck Calc'!M27+'deflection summary'!E27/12+'deflection summary'!G27/12-8.5/12-$O$5</f>
        <v>1049.5914594399999</v>
      </c>
    </row>
    <row r="28" spans="5:13" s="23" customFormat="1" ht="12.75" customHeight="1" x14ac:dyDescent="0.2">
      <c r="E28" s="127"/>
      <c r="F28" s="173">
        <v>0.6</v>
      </c>
      <c r="G28" s="40">
        <f>'Final Deck Calc'!G28</f>
        <v>999.79</v>
      </c>
      <c r="H28" s="79"/>
      <c r="I28" s="40">
        <f>'Final Deck Calc'!I28</f>
        <v>999.79</v>
      </c>
      <c r="J28" s="40">
        <f>'Final Deck Calc'!J28</f>
        <v>999.79</v>
      </c>
      <c r="K28" s="40">
        <f>'Final Deck Calc'!K28</f>
        <v>999.79</v>
      </c>
      <c r="L28" s="79"/>
      <c r="M28" s="40">
        <f>'Final Deck Calc'!M28</f>
        <v>999.79</v>
      </c>
    </row>
    <row r="29" spans="5:13" s="23" customFormat="1" ht="12.75" customHeight="1" thickBot="1" x14ac:dyDescent="0.25">
      <c r="E29" s="127"/>
      <c r="F29" s="174"/>
      <c r="G29" s="63">
        <f>'Final Deck Calc'!G29+'deflection summary'!E29/12+'deflection summary'!G29/12-8.5/12-$O$5</f>
        <v>1049.537164565</v>
      </c>
      <c r="H29" s="62"/>
      <c r="I29" s="63">
        <f>'Final Deck Calc'!I29+'deflection summary'!F29/12+'deflection summary'!H29/12-8.5/12</f>
        <v>1049.6807478983335</v>
      </c>
      <c r="J29" s="63">
        <f>'Final Deck Calc'!J29+'deflection summary'!F29/12+'deflection summary'!H29/12-8.5/12</f>
        <v>1049.8087478983334</v>
      </c>
      <c r="K29" s="63">
        <f>'Final Deck Calc'!K29+'deflection summary'!F29/12+'deflection summary'!H29/12-8.5/12</f>
        <v>1049.6807478983335</v>
      </c>
      <c r="L29" s="62"/>
      <c r="M29" s="63">
        <f>'Final Deck Calc'!M29+'deflection summary'!E29/12+'deflection summary'!G29/12-8.5/12-$O$5</f>
        <v>1049.537164565</v>
      </c>
    </row>
    <row r="30" spans="5:13" s="23" customFormat="1" ht="12.75" customHeight="1" x14ac:dyDescent="0.2">
      <c r="E30" s="127"/>
      <c r="F30" s="113" t="s">
        <v>76</v>
      </c>
      <c r="G30" s="40">
        <f>'Final Deck Calc'!G30</f>
        <v>1006.29</v>
      </c>
      <c r="H30" s="62"/>
      <c r="I30" s="40">
        <f>'Final Deck Calc'!I30</f>
        <v>1006.29</v>
      </c>
      <c r="J30" s="40">
        <f>'Final Deck Calc'!J30</f>
        <v>1006.29</v>
      </c>
      <c r="K30" s="40">
        <f>'Final Deck Calc'!K30</f>
        <v>1006.29</v>
      </c>
      <c r="L30" s="62"/>
      <c r="M30" s="40">
        <f>'Final Deck Calc'!M30</f>
        <v>1006.29</v>
      </c>
    </row>
    <row r="31" spans="5:13" s="23" customFormat="1" ht="12.75" customHeight="1" thickBot="1" x14ac:dyDescent="0.25">
      <c r="E31" s="127"/>
      <c r="F31" s="113"/>
      <c r="G31" s="63">
        <f>'Final Deck Calc'!G31+'deflection summary'!E31/12+'deflection summary'!G31/12-8.5/12-$O$5</f>
        <v>1049.4497775821822</v>
      </c>
      <c r="H31" s="62"/>
      <c r="I31" s="63">
        <f>'Final Deck Calc'!I31+'deflection summary'!F31/12+'deflection summary'!H31/12-8.5/12</f>
        <v>1049.5918531835569</v>
      </c>
      <c r="J31" s="63">
        <f>'Final Deck Calc'!J31+'deflection summary'!F31/12+'deflection summary'!H31/12-8.5/12</f>
        <v>1049.7198531835568</v>
      </c>
      <c r="K31" s="63">
        <f>'Final Deck Calc'!K31+'deflection summary'!F31/12+'deflection summary'!H31/12-8.5/12</f>
        <v>1049.5918531835569</v>
      </c>
      <c r="L31" s="62"/>
      <c r="M31" s="63">
        <f>'Final Deck Calc'!M31+'deflection summary'!E31/12+'deflection summary'!G31/12-8.5/12-$O$5</f>
        <v>1049.4497775821822</v>
      </c>
    </row>
    <row r="32" spans="5:13" s="23" customFormat="1" ht="12.75" customHeight="1" x14ac:dyDescent="0.2">
      <c r="E32" s="127"/>
      <c r="F32" s="173">
        <v>0.7</v>
      </c>
      <c r="G32" s="40">
        <f>'Final Deck Calc'!G32</f>
        <v>1009.54</v>
      </c>
      <c r="H32" s="79"/>
      <c r="I32" s="40">
        <f>'Final Deck Calc'!I32</f>
        <v>1009.54</v>
      </c>
      <c r="J32" s="40">
        <f>'Final Deck Calc'!J32</f>
        <v>1009.54</v>
      </c>
      <c r="K32" s="40">
        <f>'Final Deck Calc'!K32</f>
        <v>1009.54</v>
      </c>
      <c r="L32" s="79"/>
      <c r="M32" s="40">
        <f>'Final Deck Calc'!M32</f>
        <v>1009.54</v>
      </c>
    </row>
    <row r="33" spans="5:13" s="23" customFormat="1" ht="12.75" customHeight="1" thickBot="1" x14ac:dyDescent="0.25">
      <c r="E33" s="127"/>
      <c r="F33" s="174"/>
      <c r="G33" s="63">
        <f>'Final Deck Calc'!G33+'deflection summary'!E33/12+'deflection summary'!G33/12-8.5/12-$O$5</f>
        <v>1049.3951592733333</v>
      </c>
      <c r="H33" s="62"/>
      <c r="I33" s="63">
        <f>'Final Deck Calc'!I33+'deflection summary'!F33/12+'deflection summary'!H33/12-8.5/12</f>
        <v>1049.5364926066668</v>
      </c>
      <c r="J33" s="63">
        <f>'Final Deck Calc'!J33+'deflection summary'!F33/12+'deflection summary'!H33/12-8.5/12</f>
        <v>1049.6644926066667</v>
      </c>
      <c r="K33" s="63">
        <f>'Final Deck Calc'!K33+'deflection summary'!F33/12+'deflection summary'!H33/12-8.5/12</f>
        <v>1049.5364926066668</v>
      </c>
      <c r="L33" s="62"/>
      <c r="M33" s="63">
        <f>'Final Deck Calc'!M33+'deflection summary'!E33/12+'deflection summary'!G33/12-8.5/12-$O$5</f>
        <v>1049.3951592733333</v>
      </c>
    </row>
    <row r="34" spans="5:13" s="23" customFormat="1" ht="12.75" customHeight="1" x14ac:dyDescent="0.2">
      <c r="E34" s="127"/>
      <c r="F34" s="173">
        <v>0.8</v>
      </c>
      <c r="G34" s="40">
        <f>'Final Deck Calc'!G34</f>
        <v>1019.29</v>
      </c>
      <c r="H34" s="79"/>
      <c r="I34" s="40">
        <f>'Final Deck Calc'!I34</f>
        <v>1019.29</v>
      </c>
      <c r="J34" s="40">
        <f>'Final Deck Calc'!J34</f>
        <v>1019.29</v>
      </c>
      <c r="K34" s="40">
        <f>'Final Deck Calc'!K34</f>
        <v>1019.29</v>
      </c>
      <c r="L34" s="79"/>
      <c r="M34" s="40">
        <f>'Final Deck Calc'!M34</f>
        <v>1019.29</v>
      </c>
    </row>
    <row r="35" spans="5:13" s="23" customFormat="1" ht="12.75" customHeight="1" thickBot="1" x14ac:dyDescent="0.25">
      <c r="E35" s="127"/>
      <c r="F35" s="174"/>
      <c r="G35" s="63">
        <f>'Final Deck Calc'!G35+'deflection summary'!E35/12+'deflection summary'!G35/12-8.5/12-$O$5</f>
        <v>1049.1682768983333</v>
      </c>
      <c r="H35" s="62"/>
      <c r="I35" s="63">
        <f>'Final Deck Calc'!I35+'deflection summary'!F35/12+'deflection summary'!H35/12-8.5/12</f>
        <v>1049.3060268983334</v>
      </c>
      <c r="J35" s="63">
        <f>'Final Deck Calc'!J35+'deflection summary'!F35/12+'deflection summary'!H35/12-8.5/12</f>
        <v>1049.4340268983333</v>
      </c>
      <c r="K35" s="63">
        <f>'Final Deck Calc'!K35+'deflection summary'!F35/12+'deflection summary'!H35/12-8.5/12</f>
        <v>1049.3060268983334</v>
      </c>
      <c r="L35" s="62"/>
      <c r="M35" s="63">
        <f>'Final Deck Calc'!M35+'deflection summary'!E35/12+'deflection summary'!G35/12-8.5/12-$O$5</f>
        <v>1049.1682768983333</v>
      </c>
    </row>
    <row r="36" spans="5:13" s="21" customFormat="1" ht="12.75" customHeight="1" x14ac:dyDescent="0.25">
      <c r="E36" s="127"/>
      <c r="F36" s="173">
        <v>0.9</v>
      </c>
      <c r="G36" s="40">
        <f>'Final Deck Calc'!G36</f>
        <v>1029.04</v>
      </c>
      <c r="H36" s="79"/>
      <c r="I36" s="40">
        <f>'Final Deck Calc'!I36</f>
        <v>1029.04</v>
      </c>
      <c r="J36" s="40">
        <f>'Final Deck Calc'!J36</f>
        <v>1029.04</v>
      </c>
      <c r="K36" s="40">
        <f>'Final Deck Calc'!K36</f>
        <v>1029.04</v>
      </c>
      <c r="L36" s="79"/>
      <c r="M36" s="40">
        <f>'Final Deck Calc'!M36</f>
        <v>1029.04</v>
      </c>
    </row>
    <row r="37" spans="5:13" s="23" customFormat="1" ht="12.75" customHeight="1" thickBot="1" x14ac:dyDescent="0.25">
      <c r="E37" s="127"/>
      <c r="F37" s="174"/>
      <c r="G37" s="63">
        <f>'Final Deck Calc'!G37+'deflection summary'!E37/12+'deflection summary'!G37/12-8.5/12-$O$5</f>
        <v>1048.8606841066669</v>
      </c>
      <c r="H37" s="62"/>
      <c r="I37" s="63">
        <f>'Final Deck Calc'!I37+'deflection summary'!F37/12+'deflection summary'!H37/12-8.5/12</f>
        <v>1048.9938507733334</v>
      </c>
      <c r="J37" s="63">
        <f>'Final Deck Calc'!J37+'deflection summary'!F37/12+'deflection summary'!H37/12-8.5/12</f>
        <v>1049.1218507733333</v>
      </c>
      <c r="K37" s="63">
        <f>'Final Deck Calc'!K37+'deflection summary'!F37/12+'deflection summary'!H37/12-8.5/12</f>
        <v>1048.9938507733334</v>
      </c>
      <c r="L37" s="62"/>
      <c r="M37" s="63">
        <f>'Final Deck Calc'!M37+'deflection summary'!E37/12+'deflection summary'!G37/12-8.5/12-$O$5</f>
        <v>1048.8606841066669</v>
      </c>
    </row>
    <row r="38" spans="5:13" ht="12.75" customHeight="1" x14ac:dyDescent="0.25">
      <c r="E38" s="127"/>
      <c r="F38" s="175" t="s">
        <v>67</v>
      </c>
      <c r="G38" s="40">
        <f>'Final Deck Calc'!G38</f>
        <v>1038.79</v>
      </c>
      <c r="H38" s="79"/>
      <c r="I38" s="40">
        <f>'Final Deck Calc'!I38</f>
        <v>1038.79</v>
      </c>
      <c r="J38" s="40">
        <f>'Final Deck Calc'!J38</f>
        <v>1038.79</v>
      </c>
      <c r="K38" s="40">
        <f>'Final Deck Calc'!K38</f>
        <v>1038.79</v>
      </c>
      <c r="L38" s="79"/>
      <c r="M38" s="40">
        <f>'Final Deck Calc'!M38</f>
        <v>1038.79</v>
      </c>
    </row>
    <row r="39" spans="5:13" ht="12.75" customHeight="1" thickBot="1" x14ac:dyDescent="0.25">
      <c r="E39" s="128"/>
      <c r="F39" s="174"/>
      <c r="G39" s="63">
        <f>'Final Deck Calc'!G39+'deflection summary'!E39/12+'deflection summary'!G39/12-8.5/12-$O$5</f>
        <v>1048.4787142316666</v>
      </c>
      <c r="H39" s="74"/>
      <c r="I39" s="65">
        <f>'Final Deck Calc'!I39+'deflection summary'!F39/12+'deflection summary'!H39/12-8.5/12</f>
        <v>1048.6067142316667</v>
      </c>
      <c r="J39" s="63">
        <f>'Final Deck Calc'!J39+'deflection summary'!F39/12+'deflection summary'!H39/12-8.5/12</f>
        <v>1048.7347142316667</v>
      </c>
      <c r="K39" s="65">
        <f>'Final Deck Calc'!K39+'deflection summary'!F39/12+'deflection summary'!H39/12-8.5/12</f>
        <v>1048.6067142316667</v>
      </c>
      <c r="L39" s="74"/>
      <c r="M39" s="63">
        <f>'Final Deck Calc'!M39+'deflection summary'!E39/12+'deflection summary'!G39/12-8.5/12-$O$5</f>
        <v>1048.4787142316666</v>
      </c>
    </row>
    <row r="40" spans="5:13" ht="12" customHeight="1" x14ac:dyDescent="0.2">
      <c r="E40" s="176" t="s">
        <v>66</v>
      </c>
      <c r="F40" s="175" t="s">
        <v>74</v>
      </c>
      <c r="G40" s="40">
        <f>'Final Deck Calc'!G40</f>
        <v>1040.29</v>
      </c>
      <c r="H40" s="62"/>
      <c r="I40" s="40">
        <f>'Final Deck Calc'!I40</f>
        <v>1040.29</v>
      </c>
      <c r="J40" s="40">
        <f>'Final Deck Calc'!J40</f>
        <v>1040.29</v>
      </c>
      <c r="K40" s="40">
        <f>'Final Deck Calc'!K40</f>
        <v>1040.29</v>
      </c>
      <c r="L40" s="62"/>
      <c r="M40" s="40">
        <f>'Final Deck Calc'!M40</f>
        <v>1040.29</v>
      </c>
    </row>
    <row r="41" spans="5:13" ht="12" customHeight="1" thickBot="1" x14ac:dyDescent="0.25">
      <c r="E41" s="177"/>
      <c r="F41" s="174"/>
      <c r="G41" s="63">
        <f>'Final Deck Calc'!G41+'deflection summary'!E41/12+'deflection summary'!G41/12-8.5/12-$O$5</f>
        <v>1048.4251972316665</v>
      </c>
      <c r="H41" s="62"/>
      <c r="I41" s="65">
        <f>'Final Deck Calc'!I41+'deflection summary'!F41/12+'deflection summary'!H41/12-8.5/12</f>
        <v>1048.5531972316667</v>
      </c>
      <c r="J41" s="63">
        <f>'Final Deck Calc'!J41+'deflection summary'!F41/12+'deflection summary'!H41/12-8.5/12</f>
        <v>1048.6811972316666</v>
      </c>
      <c r="K41" s="65">
        <f>'Final Deck Calc'!K41+'deflection summary'!F41/12+'deflection summary'!H41/12-8.5/12</f>
        <v>1048.5531972316667</v>
      </c>
      <c r="L41" s="62"/>
      <c r="M41" s="63">
        <f>'Final Deck Calc'!M41+'deflection summary'!E41/12+'deflection summary'!G41/12-8.5/12-$O$5</f>
        <v>1048.4251972316665</v>
      </c>
    </row>
    <row r="42" spans="5:13" ht="12" customHeight="1" x14ac:dyDescent="0.2">
      <c r="E42" s="177"/>
      <c r="F42" s="173">
        <v>0.25</v>
      </c>
      <c r="G42" s="40">
        <f>'Final Deck Calc'!G42</f>
        <v>1046.8525</v>
      </c>
      <c r="H42" s="62"/>
      <c r="I42" s="40">
        <f>'Final Deck Calc'!I42</f>
        <v>1046.8525</v>
      </c>
      <c r="J42" s="40">
        <f>'Final Deck Calc'!J42</f>
        <v>1046.8525</v>
      </c>
      <c r="K42" s="40">
        <f>'Final Deck Calc'!K42</f>
        <v>1046.8525</v>
      </c>
      <c r="L42" s="62"/>
      <c r="M42" s="40">
        <f>'Final Deck Calc'!M42</f>
        <v>1046.8525</v>
      </c>
    </row>
    <row r="43" spans="5:13" ht="12" customHeight="1" thickBot="1" x14ac:dyDescent="0.25">
      <c r="E43" s="177"/>
      <c r="F43" s="174"/>
      <c r="G43" s="63">
        <f>'Final Deck Calc'!G43+'deflection summary'!E43/12+'deflection summary'!G43/12-8.5/12-$O$5</f>
        <v>1048.1747918019792</v>
      </c>
      <c r="H43" s="62"/>
      <c r="I43" s="65">
        <f>'Final Deck Calc'!I43+'deflection summary'!F43/12+'deflection summary'!H43/12-8.5/12</f>
        <v>1048.3030001353127</v>
      </c>
      <c r="J43" s="63">
        <f>'Final Deck Calc'!J43+'deflection summary'!F43/12+'deflection summary'!H43/12-8.5/12</f>
        <v>1048.4310001353126</v>
      </c>
      <c r="K43" s="65">
        <f>'Final Deck Calc'!K43+'deflection summary'!F43/12+'deflection summary'!H43/12-8.5/12</f>
        <v>1048.3030001353127</v>
      </c>
      <c r="L43" s="62"/>
      <c r="M43" s="63">
        <f>'Final Deck Calc'!M43+'deflection summary'!E43/12+'deflection summary'!G43/12-8.5/12-$O$5</f>
        <v>1048.1747918019792</v>
      </c>
    </row>
    <row r="44" spans="5:13" ht="12" customHeight="1" x14ac:dyDescent="0.2">
      <c r="E44" s="177"/>
      <c r="F44" s="173">
        <v>0.5</v>
      </c>
      <c r="G44" s="40">
        <f>'Final Deck Calc'!G44</f>
        <v>1053.415</v>
      </c>
      <c r="H44" s="62"/>
      <c r="I44" s="40">
        <f>'Final Deck Calc'!I44</f>
        <v>1053.415</v>
      </c>
      <c r="J44" s="40">
        <f>'Final Deck Calc'!J44</f>
        <v>1053.415</v>
      </c>
      <c r="K44" s="40">
        <f>'Final Deck Calc'!K44</f>
        <v>1053.415</v>
      </c>
      <c r="L44" s="62"/>
      <c r="M44" s="40">
        <f>'Final Deck Calc'!M44</f>
        <v>1053.415</v>
      </c>
    </row>
    <row r="45" spans="5:13" ht="12" customHeight="1" thickBot="1" x14ac:dyDescent="0.25">
      <c r="E45" s="177"/>
      <c r="F45" s="174"/>
      <c r="G45" s="63">
        <f>'Final Deck Calc'!G45+'deflection summary'!E45/12+'deflection summary'!G45/12-8.5/12-$O$5</f>
        <v>1047.8929065545833</v>
      </c>
      <c r="H45" s="62"/>
      <c r="I45" s="65">
        <f>'Final Deck Calc'!I45+'deflection summary'!F45/12+'deflection summary'!H45/12-8.5/12</f>
        <v>1048.0212398879169</v>
      </c>
      <c r="J45" s="63">
        <f>'Final Deck Calc'!J45+'deflection summary'!F45/12+'deflection summary'!H45/12-8.5/12</f>
        <v>1048.1492398879168</v>
      </c>
      <c r="K45" s="65">
        <f>'Final Deck Calc'!K45+'deflection summary'!F45/12+'deflection summary'!H45/12-8.5/12</f>
        <v>1048.0212398879169</v>
      </c>
      <c r="L45" s="62"/>
      <c r="M45" s="63">
        <f>'Final Deck Calc'!M45+'deflection summary'!E45/12+'deflection summary'!G45/12-8.5/12-$O$5</f>
        <v>1047.8929065545833</v>
      </c>
    </row>
    <row r="46" spans="5:13" ht="12" customHeight="1" x14ac:dyDescent="0.2">
      <c r="E46" s="177"/>
      <c r="F46" s="173">
        <v>0.75</v>
      </c>
      <c r="G46" s="40">
        <f>'Final Deck Calc'!G46</f>
        <v>1059.9775</v>
      </c>
      <c r="H46" s="62"/>
      <c r="I46" s="40">
        <f>'Final Deck Calc'!I46</f>
        <v>1059.9775</v>
      </c>
      <c r="J46" s="40">
        <f>'Final Deck Calc'!J46</f>
        <v>1059.9775</v>
      </c>
      <c r="K46" s="40">
        <f>'Final Deck Calc'!K46</f>
        <v>1059.9775</v>
      </c>
      <c r="L46" s="62"/>
      <c r="M46" s="40">
        <f>'Final Deck Calc'!M46</f>
        <v>1059.9775</v>
      </c>
    </row>
    <row r="47" spans="5:13" ht="12" customHeight="1" thickBot="1" x14ac:dyDescent="0.25">
      <c r="E47" s="177"/>
      <c r="F47" s="174"/>
      <c r="G47" s="63">
        <f>'Final Deck Calc'!G47+'deflection summary'!E47/12+'deflection summary'!G47/12-8.5/12-$O$5</f>
        <v>1047.5790831561455</v>
      </c>
      <c r="H47" s="62"/>
      <c r="I47" s="65">
        <f>'Final Deck Calc'!I47+'deflection summary'!F47/12+'deflection summary'!H47/12-8.5/12</f>
        <v>1047.7072498228126</v>
      </c>
      <c r="J47" s="63">
        <f>'Final Deck Calc'!J47+'deflection summary'!F47/12+'deflection summary'!H47/12-8.5/12</f>
        <v>1047.8352498228126</v>
      </c>
      <c r="K47" s="65">
        <f>'Final Deck Calc'!K47+'deflection summary'!F47/12+'deflection summary'!H47/12-8.5/12</f>
        <v>1047.7072498228126</v>
      </c>
      <c r="L47" s="62"/>
      <c r="M47" s="63">
        <f>'Final Deck Calc'!M47+'deflection summary'!E47/12+'deflection summary'!G47/12-8.5/12-$O$5</f>
        <v>1047.5790831561455</v>
      </c>
    </row>
    <row r="48" spans="5:13" ht="12" customHeight="1" x14ac:dyDescent="0.2">
      <c r="E48" s="177"/>
      <c r="F48" s="175" t="s">
        <v>73</v>
      </c>
      <c r="G48" s="40">
        <f>'Final Deck Calc'!G48</f>
        <v>1066.54</v>
      </c>
      <c r="H48" s="62"/>
      <c r="I48" s="40">
        <f>'Final Deck Calc'!I48</f>
        <v>1066.54</v>
      </c>
      <c r="J48" s="40">
        <f>'Final Deck Calc'!J48</f>
        <v>1066.54</v>
      </c>
      <c r="K48" s="40">
        <f>'Final Deck Calc'!K48</f>
        <v>1066.54</v>
      </c>
      <c r="L48" s="62"/>
      <c r="M48" s="40">
        <f>'Final Deck Calc'!M48</f>
        <v>1066.54</v>
      </c>
    </row>
    <row r="49" spans="5:13" ht="12" customHeight="1" thickBot="1" x14ac:dyDescent="0.25">
      <c r="E49" s="178"/>
      <c r="F49" s="174"/>
      <c r="G49" s="65">
        <f>'Final Deck Calc'!G49+'deflection summary'!E49/12+'deflection summary'!G49/12-8.5/12-$O$5</f>
        <v>1047.2336966066666</v>
      </c>
      <c r="H49" s="74"/>
      <c r="I49" s="65">
        <f>'Final Deck Calc'!I49+'deflection summary'!F49/12+'deflection summary'!H49/12-8.5/12</f>
        <v>1047.3616966066668</v>
      </c>
      <c r="J49" s="65">
        <f>'Final Deck Calc'!J49+'deflection summary'!F49/12+'deflection summary'!H49/12-8.5/12</f>
        <v>1047.4896966066667</v>
      </c>
      <c r="K49" s="65">
        <f>'Final Deck Calc'!K49+'deflection summary'!F49/12+'deflection summary'!H49/12-8.5/12</f>
        <v>1047.3616966066668</v>
      </c>
      <c r="L49" s="74"/>
      <c r="M49" s="65">
        <f>'Final Deck Calc'!M49+'deflection summary'!E49/12+'deflection summary'!G49/12-8.5/12-$O$5</f>
        <v>1047.2336966066666</v>
      </c>
    </row>
    <row r="50" spans="5:13" ht="12" customHeight="1" x14ac:dyDescent="0.2">
      <c r="E50" s="61"/>
      <c r="F50" s="59"/>
      <c r="G50" s="62"/>
      <c r="H50" s="62"/>
      <c r="I50" s="62"/>
      <c r="J50" s="62"/>
      <c r="K50" s="62"/>
      <c r="L50" s="62"/>
      <c r="M50" s="62"/>
    </row>
    <row r="51" spans="5:13" ht="12.75" customHeight="1" x14ac:dyDescent="0.25">
      <c r="F51" s="60" t="s">
        <v>20</v>
      </c>
      <c r="G51" s="179" t="s">
        <v>115</v>
      </c>
      <c r="H51" s="179"/>
      <c r="I51" s="179"/>
      <c r="J51" s="179"/>
      <c r="K51" s="179"/>
      <c r="L51" s="179"/>
      <c r="M51" s="179"/>
    </row>
    <row r="52" spans="5:13" ht="12.75" customHeight="1" x14ac:dyDescent="0.25">
      <c r="G52" s="179"/>
      <c r="H52" s="179"/>
      <c r="I52" s="179"/>
      <c r="J52" s="179"/>
      <c r="K52" s="179"/>
      <c r="L52" s="179"/>
      <c r="M52" s="179"/>
    </row>
    <row r="53" spans="5:13" ht="12.75" customHeight="1" x14ac:dyDescent="0.25">
      <c r="G53" s="179"/>
      <c r="H53" s="179"/>
      <c r="I53" s="179"/>
      <c r="J53" s="179"/>
      <c r="K53" s="179"/>
      <c r="L53" s="179"/>
      <c r="M53" s="179"/>
    </row>
    <row r="54" spans="5:13" ht="17.25" customHeight="1" x14ac:dyDescent="0.25">
      <c r="G54" s="179"/>
      <c r="H54" s="179"/>
      <c r="I54" s="179"/>
      <c r="J54" s="179"/>
      <c r="K54" s="179"/>
      <c r="L54" s="179"/>
      <c r="M54" s="179"/>
    </row>
    <row r="55" spans="5:13" ht="17.25" customHeight="1" x14ac:dyDescent="0.25">
      <c r="M55" s="19"/>
    </row>
  </sheetData>
  <mergeCells count="28">
    <mergeCell ref="G51:M54"/>
    <mergeCell ref="F38:F39"/>
    <mergeCell ref="E2:M2"/>
    <mergeCell ref="F14:F15"/>
    <mergeCell ref="F16:F17"/>
    <mergeCell ref="F26:F27"/>
    <mergeCell ref="F36:F37"/>
    <mergeCell ref="F24:F25"/>
    <mergeCell ref="F28:F29"/>
    <mergeCell ref="F32:F33"/>
    <mergeCell ref="F34:F35"/>
    <mergeCell ref="F18:F19"/>
    <mergeCell ref="E14:E39"/>
    <mergeCell ref="F4:F5"/>
    <mergeCell ref="F6:F7"/>
    <mergeCell ref="F8:F9"/>
    <mergeCell ref="F10:F11"/>
    <mergeCell ref="F12:F13"/>
    <mergeCell ref="E4:E13"/>
    <mergeCell ref="E40:E49"/>
    <mergeCell ref="F40:F41"/>
    <mergeCell ref="F42:F43"/>
    <mergeCell ref="F44:F45"/>
    <mergeCell ref="F46:F47"/>
    <mergeCell ref="F48:F49"/>
    <mergeCell ref="F22:F23"/>
    <mergeCell ref="F30:F31"/>
    <mergeCell ref="F20:F21"/>
  </mergeCells>
  <printOptions horizontalCentered="1" verticalCentered="1"/>
  <pageMargins left="0.75" right="0.75" top="0.75" bottom="0.75" header="0.5" footer="0.5"/>
  <pageSetup scale="88" orientation="portrait" r:id="rId1"/>
  <headerFooter alignWithMargins="0">
    <oddHeader>&amp;CCalculated by AMT&amp;R4/2/19</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D1:N56"/>
  <sheetViews>
    <sheetView zoomScaleNormal="100" workbookViewId="0">
      <selection activeCell="B3" sqref="B3"/>
    </sheetView>
  </sheetViews>
  <sheetFormatPr defaultColWidth="20.7109375" defaultRowHeight="17.25" customHeight="1" x14ac:dyDescent="0.25"/>
  <cols>
    <col min="1" max="1" width="6" style="17" customWidth="1"/>
    <col min="2" max="2" width="4.7109375" style="17" customWidth="1"/>
    <col min="3" max="4" width="5.7109375" style="17" customWidth="1"/>
    <col min="5" max="5" width="21.7109375" style="17" customWidth="1"/>
    <col min="6" max="6" width="14.7109375" style="17" customWidth="1"/>
    <col min="7" max="7" width="14.7109375" style="17" hidden="1" customWidth="1"/>
    <col min="8" max="8" width="14.7109375" style="17" customWidth="1"/>
    <col min="9" max="9" width="14.7109375" style="17" hidden="1" customWidth="1"/>
    <col min="10" max="10" width="14.7109375" style="17" customWidth="1"/>
    <col min="11" max="11" width="14.7109375" style="17" hidden="1" customWidth="1"/>
    <col min="12" max="12" width="14.7109375" style="17" customWidth="1"/>
    <col min="13" max="13" width="14.7109375" style="17" hidden="1" customWidth="1"/>
    <col min="14" max="14" width="14.7109375" style="17" customWidth="1"/>
    <col min="15" max="256" width="20.7109375" style="17"/>
    <col min="257" max="257" width="20.85546875" style="17" customWidth="1"/>
    <col min="258" max="266" width="16.42578125" style="17" customWidth="1"/>
    <col min="267" max="512" width="20.7109375" style="17"/>
    <col min="513" max="513" width="20.85546875" style="17" customWidth="1"/>
    <col min="514" max="522" width="16.42578125" style="17" customWidth="1"/>
    <col min="523" max="768" width="20.7109375" style="17"/>
    <col min="769" max="769" width="20.85546875" style="17" customWidth="1"/>
    <col min="770" max="778" width="16.42578125" style="17" customWidth="1"/>
    <col min="779" max="1024" width="20.7109375" style="17"/>
    <col min="1025" max="1025" width="20.85546875" style="17" customWidth="1"/>
    <col min="1026" max="1034" width="16.42578125" style="17" customWidth="1"/>
    <col min="1035" max="1280" width="20.7109375" style="17"/>
    <col min="1281" max="1281" width="20.85546875" style="17" customWidth="1"/>
    <col min="1282" max="1290" width="16.42578125" style="17" customWidth="1"/>
    <col min="1291" max="1536" width="20.7109375" style="17"/>
    <col min="1537" max="1537" width="20.85546875" style="17" customWidth="1"/>
    <col min="1538" max="1546" width="16.42578125" style="17" customWidth="1"/>
    <col min="1547" max="1792" width="20.7109375" style="17"/>
    <col min="1793" max="1793" width="20.85546875" style="17" customWidth="1"/>
    <col min="1794" max="1802" width="16.42578125" style="17" customWidth="1"/>
    <col min="1803" max="2048" width="20.7109375" style="17"/>
    <col min="2049" max="2049" width="20.85546875" style="17" customWidth="1"/>
    <col min="2050" max="2058" width="16.42578125" style="17" customWidth="1"/>
    <col min="2059" max="2304" width="20.7109375" style="17"/>
    <col min="2305" max="2305" width="20.85546875" style="17" customWidth="1"/>
    <col min="2306" max="2314" width="16.42578125" style="17" customWidth="1"/>
    <col min="2315" max="2560" width="20.7109375" style="17"/>
    <col min="2561" max="2561" width="20.85546875" style="17" customWidth="1"/>
    <col min="2562" max="2570" width="16.42578125" style="17" customWidth="1"/>
    <col min="2571" max="2816" width="20.7109375" style="17"/>
    <col min="2817" max="2817" width="20.85546875" style="17" customWidth="1"/>
    <col min="2818" max="2826" width="16.42578125" style="17" customWidth="1"/>
    <col min="2827" max="3072" width="20.7109375" style="17"/>
    <col min="3073" max="3073" width="20.85546875" style="17" customWidth="1"/>
    <col min="3074" max="3082" width="16.42578125" style="17" customWidth="1"/>
    <col min="3083" max="3328" width="20.7109375" style="17"/>
    <col min="3329" max="3329" width="20.85546875" style="17" customWidth="1"/>
    <col min="3330" max="3338" width="16.42578125" style="17" customWidth="1"/>
    <col min="3339" max="3584" width="20.7109375" style="17"/>
    <col min="3585" max="3585" width="20.85546875" style="17" customWidth="1"/>
    <col min="3586" max="3594" width="16.42578125" style="17" customWidth="1"/>
    <col min="3595" max="3840" width="20.7109375" style="17"/>
    <col min="3841" max="3841" width="20.85546875" style="17" customWidth="1"/>
    <col min="3842" max="3850" width="16.42578125" style="17" customWidth="1"/>
    <col min="3851" max="4096" width="20.7109375" style="17"/>
    <col min="4097" max="4097" width="20.85546875" style="17" customWidth="1"/>
    <col min="4098" max="4106" width="16.42578125" style="17" customWidth="1"/>
    <col min="4107" max="4352" width="20.7109375" style="17"/>
    <col min="4353" max="4353" width="20.85546875" style="17" customWidth="1"/>
    <col min="4354" max="4362" width="16.42578125" style="17" customWidth="1"/>
    <col min="4363" max="4608" width="20.7109375" style="17"/>
    <col min="4609" max="4609" width="20.85546875" style="17" customWidth="1"/>
    <col min="4610" max="4618" width="16.42578125" style="17" customWidth="1"/>
    <col min="4619" max="4864" width="20.7109375" style="17"/>
    <col min="4865" max="4865" width="20.85546875" style="17" customWidth="1"/>
    <col min="4866" max="4874" width="16.42578125" style="17" customWidth="1"/>
    <col min="4875" max="5120" width="20.7109375" style="17"/>
    <col min="5121" max="5121" width="20.85546875" style="17" customWidth="1"/>
    <col min="5122" max="5130" width="16.42578125" style="17" customWidth="1"/>
    <col min="5131" max="5376" width="20.7109375" style="17"/>
    <col min="5377" max="5377" width="20.85546875" style="17" customWidth="1"/>
    <col min="5378" max="5386" width="16.42578125" style="17" customWidth="1"/>
    <col min="5387" max="5632" width="20.7109375" style="17"/>
    <col min="5633" max="5633" width="20.85546875" style="17" customWidth="1"/>
    <col min="5634" max="5642" width="16.42578125" style="17" customWidth="1"/>
    <col min="5643" max="5888" width="20.7109375" style="17"/>
    <col min="5889" max="5889" width="20.85546875" style="17" customWidth="1"/>
    <col min="5890" max="5898" width="16.42578125" style="17" customWidth="1"/>
    <col min="5899" max="6144" width="20.7109375" style="17"/>
    <col min="6145" max="6145" width="20.85546875" style="17" customWidth="1"/>
    <col min="6146" max="6154" width="16.42578125" style="17" customWidth="1"/>
    <col min="6155" max="6400" width="20.7109375" style="17"/>
    <col min="6401" max="6401" width="20.85546875" style="17" customWidth="1"/>
    <col min="6402" max="6410" width="16.42578125" style="17" customWidth="1"/>
    <col min="6411" max="6656" width="20.7109375" style="17"/>
    <col min="6657" max="6657" width="20.85546875" style="17" customWidth="1"/>
    <col min="6658" max="6666" width="16.42578125" style="17" customWidth="1"/>
    <col min="6667" max="6912" width="20.7109375" style="17"/>
    <col min="6913" max="6913" width="20.85546875" style="17" customWidth="1"/>
    <col min="6914" max="6922" width="16.42578125" style="17" customWidth="1"/>
    <col min="6923" max="7168" width="20.7109375" style="17"/>
    <col min="7169" max="7169" width="20.85546875" style="17" customWidth="1"/>
    <col min="7170" max="7178" width="16.42578125" style="17" customWidth="1"/>
    <col min="7179" max="7424" width="20.7109375" style="17"/>
    <col min="7425" max="7425" width="20.85546875" style="17" customWidth="1"/>
    <col min="7426" max="7434" width="16.42578125" style="17" customWidth="1"/>
    <col min="7435" max="7680" width="20.7109375" style="17"/>
    <col min="7681" max="7681" width="20.85546875" style="17" customWidth="1"/>
    <col min="7682" max="7690" width="16.42578125" style="17" customWidth="1"/>
    <col min="7691" max="7936" width="20.7109375" style="17"/>
    <col min="7937" max="7937" width="20.85546875" style="17" customWidth="1"/>
    <col min="7938" max="7946" width="16.42578125" style="17" customWidth="1"/>
    <col min="7947" max="8192" width="20.7109375" style="17"/>
    <col min="8193" max="8193" width="20.85546875" style="17" customWidth="1"/>
    <col min="8194" max="8202" width="16.42578125" style="17" customWidth="1"/>
    <col min="8203" max="8448" width="20.7109375" style="17"/>
    <col min="8449" max="8449" width="20.85546875" style="17" customWidth="1"/>
    <col min="8450" max="8458" width="16.42578125" style="17" customWidth="1"/>
    <col min="8459" max="8704" width="20.7109375" style="17"/>
    <col min="8705" max="8705" width="20.85546875" style="17" customWidth="1"/>
    <col min="8706" max="8714" width="16.42578125" style="17" customWidth="1"/>
    <col min="8715" max="8960" width="20.7109375" style="17"/>
    <col min="8961" max="8961" width="20.85546875" style="17" customWidth="1"/>
    <col min="8962" max="8970" width="16.42578125" style="17" customWidth="1"/>
    <col min="8971" max="9216" width="20.7109375" style="17"/>
    <col min="9217" max="9217" width="20.85546875" style="17" customWidth="1"/>
    <col min="9218" max="9226" width="16.42578125" style="17" customWidth="1"/>
    <col min="9227" max="9472" width="20.7109375" style="17"/>
    <col min="9473" max="9473" width="20.85546875" style="17" customWidth="1"/>
    <col min="9474" max="9482" width="16.42578125" style="17" customWidth="1"/>
    <col min="9483" max="9728" width="20.7109375" style="17"/>
    <col min="9729" max="9729" width="20.85546875" style="17" customWidth="1"/>
    <col min="9730" max="9738" width="16.42578125" style="17" customWidth="1"/>
    <col min="9739" max="9984" width="20.7109375" style="17"/>
    <col min="9985" max="9985" width="20.85546875" style="17" customWidth="1"/>
    <col min="9986" max="9994" width="16.42578125" style="17" customWidth="1"/>
    <col min="9995" max="10240" width="20.7109375" style="17"/>
    <col min="10241" max="10241" width="20.85546875" style="17" customWidth="1"/>
    <col min="10242" max="10250" width="16.42578125" style="17" customWidth="1"/>
    <col min="10251" max="10496" width="20.7109375" style="17"/>
    <col min="10497" max="10497" width="20.85546875" style="17" customWidth="1"/>
    <col min="10498" max="10506" width="16.42578125" style="17" customWidth="1"/>
    <col min="10507" max="10752" width="20.7109375" style="17"/>
    <col min="10753" max="10753" width="20.85546875" style="17" customWidth="1"/>
    <col min="10754" max="10762" width="16.42578125" style="17" customWidth="1"/>
    <col min="10763" max="11008" width="20.7109375" style="17"/>
    <col min="11009" max="11009" width="20.85546875" style="17" customWidth="1"/>
    <col min="11010" max="11018" width="16.42578125" style="17" customWidth="1"/>
    <col min="11019" max="11264" width="20.7109375" style="17"/>
    <col min="11265" max="11265" width="20.85546875" style="17" customWidth="1"/>
    <col min="11266" max="11274" width="16.42578125" style="17" customWidth="1"/>
    <col min="11275" max="11520" width="20.7109375" style="17"/>
    <col min="11521" max="11521" width="20.85546875" style="17" customWidth="1"/>
    <col min="11522" max="11530" width="16.42578125" style="17" customWidth="1"/>
    <col min="11531" max="11776" width="20.7109375" style="17"/>
    <col min="11777" max="11777" width="20.85546875" style="17" customWidth="1"/>
    <col min="11778" max="11786" width="16.42578125" style="17" customWidth="1"/>
    <col min="11787" max="12032" width="20.7109375" style="17"/>
    <col min="12033" max="12033" width="20.85546875" style="17" customWidth="1"/>
    <col min="12034" max="12042" width="16.42578125" style="17" customWidth="1"/>
    <col min="12043" max="12288" width="20.7109375" style="17"/>
    <col min="12289" max="12289" width="20.85546875" style="17" customWidth="1"/>
    <col min="12290" max="12298" width="16.42578125" style="17" customWidth="1"/>
    <col min="12299" max="12544" width="20.7109375" style="17"/>
    <col min="12545" max="12545" width="20.85546875" style="17" customWidth="1"/>
    <col min="12546" max="12554" width="16.42578125" style="17" customWidth="1"/>
    <col min="12555" max="12800" width="20.7109375" style="17"/>
    <col min="12801" max="12801" width="20.85546875" style="17" customWidth="1"/>
    <col min="12802" max="12810" width="16.42578125" style="17" customWidth="1"/>
    <col min="12811" max="13056" width="20.7109375" style="17"/>
    <col min="13057" max="13057" width="20.85546875" style="17" customWidth="1"/>
    <col min="13058" max="13066" width="16.42578125" style="17" customWidth="1"/>
    <col min="13067" max="13312" width="20.7109375" style="17"/>
    <col min="13313" max="13313" width="20.85546875" style="17" customWidth="1"/>
    <col min="13314" max="13322" width="16.42578125" style="17" customWidth="1"/>
    <col min="13323" max="13568" width="20.7109375" style="17"/>
    <col min="13569" max="13569" width="20.85546875" style="17" customWidth="1"/>
    <col min="13570" max="13578" width="16.42578125" style="17" customWidth="1"/>
    <col min="13579" max="13824" width="20.7109375" style="17"/>
    <col min="13825" max="13825" width="20.85546875" style="17" customWidth="1"/>
    <col min="13826" max="13834" width="16.42578125" style="17" customWidth="1"/>
    <col min="13835" max="14080" width="20.7109375" style="17"/>
    <col min="14081" max="14081" width="20.85546875" style="17" customWidth="1"/>
    <col min="14082" max="14090" width="16.42578125" style="17" customWidth="1"/>
    <col min="14091" max="14336" width="20.7109375" style="17"/>
    <col min="14337" max="14337" width="20.85546875" style="17" customWidth="1"/>
    <col min="14338" max="14346" width="16.42578125" style="17" customWidth="1"/>
    <col min="14347" max="14592" width="20.7109375" style="17"/>
    <col min="14593" max="14593" width="20.85546875" style="17" customWidth="1"/>
    <col min="14594" max="14602" width="16.42578125" style="17" customWidth="1"/>
    <col min="14603" max="14848" width="20.7109375" style="17"/>
    <col min="14849" max="14849" width="20.85546875" style="17" customWidth="1"/>
    <col min="14850" max="14858" width="16.42578125" style="17" customWidth="1"/>
    <col min="14859" max="15104" width="20.7109375" style="17"/>
    <col min="15105" max="15105" width="20.85546875" style="17" customWidth="1"/>
    <col min="15106" max="15114" width="16.42578125" style="17" customWidth="1"/>
    <col min="15115" max="15360" width="20.7109375" style="17"/>
    <col min="15361" max="15361" width="20.85546875" style="17" customWidth="1"/>
    <col min="15362" max="15370" width="16.42578125" style="17" customWidth="1"/>
    <col min="15371" max="15616" width="20.7109375" style="17"/>
    <col min="15617" max="15617" width="20.85546875" style="17" customWidth="1"/>
    <col min="15618" max="15626" width="16.42578125" style="17" customWidth="1"/>
    <col min="15627" max="15872" width="20.7109375" style="17"/>
    <col min="15873" max="15873" width="20.85546875" style="17" customWidth="1"/>
    <col min="15874" max="15882" width="16.42578125" style="17" customWidth="1"/>
    <col min="15883" max="16128" width="20.7109375" style="17"/>
    <col min="16129" max="16129" width="20.85546875" style="17" customWidth="1"/>
    <col min="16130" max="16138" width="16.42578125" style="17" customWidth="1"/>
    <col min="16139" max="16384" width="20.7109375" style="17"/>
  </cols>
  <sheetData>
    <row r="1" spans="4:14" ht="17.25" customHeight="1" thickBot="1" x14ac:dyDescent="0.3"/>
    <row r="2" spans="4:14" ht="22.9" customHeight="1" thickBot="1" x14ac:dyDescent="0.3">
      <c r="D2" s="137" t="s">
        <v>23</v>
      </c>
      <c r="E2" s="138"/>
      <c r="F2" s="138"/>
      <c r="G2" s="138"/>
      <c r="H2" s="138"/>
      <c r="I2" s="138"/>
      <c r="J2" s="138"/>
      <c r="K2" s="138"/>
      <c r="L2" s="138"/>
      <c r="M2" s="138"/>
      <c r="N2" s="139"/>
    </row>
    <row r="3" spans="4:14" s="19" customFormat="1" ht="40.5" customHeight="1" thickBot="1" x14ac:dyDescent="0.3">
      <c r="D3" s="18"/>
      <c r="E3" s="18" t="s">
        <v>0</v>
      </c>
      <c r="F3" s="39" t="s">
        <v>40</v>
      </c>
      <c r="G3" s="16"/>
      <c r="H3" s="39" t="s">
        <v>56</v>
      </c>
      <c r="I3" s="16"/>
      <c r="J3" s="39" t="s">
        <v>33</v>
      </c>
      <c r="K3" s="16"/>
      <c r="L3" s="39" t="s">
        <v>57</v>
      </c>
      <c r="M3" s="16"/>
      <c r="N3" s="39" t="s">
        <v>41</v>
      </c>
    </row>
    <row r="4" spans="4:14" s="19" customFormat="1" ht="12.75" customHeight="1" x14ac:dyDescent="0.25">
      <c r="D4" s="186" t="s">
        <v>22</v>
      </c>
      <c r="E4" s="182" t="s">
        <v>72</v>
      </c>
      <c r="F4" s="64">
        <f>'Final Deck Calc'!F4</f>
        <v>913.54</v>
      </c>
      <c r="G4" s="64"/>
      <c r="H4" s="64">
        <f>'Final Deck Calc'!H4</f>
        <v>913.54</v>
      </c>
      <c r="I4" s="64"/>
      <c r="J4" s="64">
        <f>'Final Deck Calc'!J4</f>
        <v>913.54</v>
      </c>
      <c r="K4" s="16"/>
      <c r="L4" s="64">
        <f>'Final Deck Calc'!L4</f>
        <v>913.54</v>
      </c>
      <c r="M4" s="16"/>
      <c r="N4" s="64">
        <f>'Final Deck Calc'!N4</f>
        <v>913.54</v>
      </c>
    </row>
    <row r="5" spans="4:14" s="19" customFormat="1" ht="12.75" customHeight="1" thickBot="1" x14ac:dyDescent="0.25">
      <c r="D5" s="177"/>
      <c r="E5" s="181"/>
      <c r="F5" s="63">
        <f>'Final Deck Calc'!F5+'deflection summary'!E5/12+'deflection summary'!G5/12</f>
        <v>1048.1633139399999</v>
      </c>
      <c r="G5" s="16"/>
      <c r="H5" s="63">
        <f>'Final Deck Calc'!H5+'deflection summary'!F5/12+'deflection summary'!H5/12</f>
        <v>1048.1633139399999</v>
      </c>
      <c r="I5" s="16"/>
      <c r="J5" s="63">
        <f>'Final Deck Calc'!J5+'deflection summary'!F5/12+'deflection summary'!H5/12</f>
        <v>1048.3553139399999</v>
      </c>
      <c r="K5" s="16"/>
      <c r="L5" s="63">
        <f>'Final Deck Calc'!L5+'deflection summary'!F5/12+'deflection summary'!H5/12</f>
        <v>1048.1633139399999</v>
      </c>
      <c r="M5" s="16"/>
      <c r="N5" s="63">
        <f>'Final Deck Calc'!N5+'deflection summary'!E5/12+'deflection summary'!G5/12</f>
        <v>1048.1633139399999</v>
      </c>
    </row>
    <row r="6" spans="4:14" s="19" customFormat="1" ht="12.75" customHeight="1" x14ac:dyDescent="0.25">
      <c r="D6" s="177"/>
      <c r="E6" s="173">
        <v>0.25</v>
      </c>
      <c r="F6" s="40">
        <f>'Final Deck Calc'!F6</f>
        <v>920.10249999999996</v>
      </c>
      <c r="G6" s="84"/>
      <c r="H6" s="40">
        <f>'Final Deck Calc'!H6</f>
        <v>920.10249999999996</v>
      </c>
      <c r="I6" s="16"/>
      <c r="J6" s="40">
        <f>'Final Deck Calc'!J6</f>
        <v>920.10249999999996</v>
      </c>
      <c r="K6" s="16"/>
      <c r="L6" s="40">
        <f>'Final Deck Calc'!L6</f>
        <v>920.10249999999996</v>
      </c>
      <c r="M6" s="16"/>
      <c r="N6" s="40">
        <f>'Final Deck Calc'!N6</f>
        <v>920.10249999999996</v>
      </c>
    </row>
    <row r="7" spans="4:14" s="19" customFormat="1" ht="12.75" customHeight="1" thickBot="1" x14ac:dyDescent="0.25">
      <c r="D7" s="177"/>
      <c r="E7" s="174"/>
      <c r="F7" s="63">
        <f>'Final Deck Calc'!F7+'deflection summary'!E7/12+'deflection summary'!G7/12</f>
        <v>1048.4951663228123</v>
      </c>
      <c r="G7" s="16"/>
      <c r="H7" s="63">
        <f>'Final Deck Calc'!H7+'deflection summary'!F7/12+'deflection summary'!H7/12</f>
        <v>1048.4953746561457</v>
      </c>
      <c r="I7" s="16"/>
      <c r="J7" s="63">
        <f>'Final Deck Calc'!J7+'deflection summary'!F7/12+'deflection summary'!H7/12</f>
        <v>1048.6873746561457</v>
      </c>
      <c r="K7" s="16"/>
      <c r="L7" s="63">
        <f>'Final Deck Calc'!L7+'deflection summary'!F7/12+'deflection summary'!H7/12</f>
        <v>1048.4953746561457</v>
      </c>
      <c r="M7" s="16"/>
      <c r="N7" s="63">
        <f>'Final Deck Calc'!N7+'deflection summary'!E7/12+'deflection summary'!G7/12</f>
        <v>1048.4951663228123</v>
      </c>
    </row>
    <row r="8" spans="4:14" s="19" customFormat="1" ht="12.75" customHeight="1" x14ac:dyDescent="0.25">
      <c r="D8" s="177"/>
      <c r="E8" s="173">
        <v>0.5</v>
      </c>
      <c r="F8" s="40">
        <f>'Final Deck Calc'!F8</f>
        <v>926.66499999999996</v>
      </c>
      <c r="G8" s="84"/>
      <c r="H8" s="40">
        <f>'Final Deck Calc'!H8</f>
        <v>926.66499999999996</v>
      </c>
      <c r="I8" s="16"/>
      <c r="J8" s="40">
        <f>'Final Deck Calc'!J8</f>
        <v>926.66499999999996</v>
      </c>
      <c r="K8" s="16"/>
      <c r="L8" s="40">
        <f>'Final Deck Calc'!L8</f>
        <v>926.66499999999996</v>
      </c>
      <c r="M8" s="16"/>
      <c r="N8" s="40">
        <f>'Final Deck Calc'!N8</f>
        <v>926.66499999999996</v>
      </c>
    </row>
    <row r="9" spans="4:14" s="19" customFormat="1" ht="12.75" customHeight="1" thickBot="1" x14ac:dyDescent="0.25">
      <c r="D9" s="177"/>
      <c r="E9" s="174"/>
      <c r="F9" s="63">
        <f>'Final Deck Calc'!F9+'deflection summary'!E9/12+'deflection summary'!G9/12</f>
        <v>1048.7955388879166</v>
      </c>
      <c r="G9" s="16"/>
      <c r="H9" s="63">
        <f>'Final Deck Calc'!H9+'deflection summary'!F9/12+'deflection summary'!H9/12</f>
        <v>1048.79587222125</v>
      </c>
      <c r="I9" s="16"/>
      <c r="J9" s="63">
        <f>'Final Deck Calc'!J9+'deflection summary'!F9/12+'deflection summary'!H9/12</f>
        <v>1048.98787222125</v>
      </c>
      <c r="K9" s="16"/>
      <c r="L9" s="63">
        <f>'Final Deck Calc'!L9+'deflection summary'!F9/12+'deflection summary'!H9/12</f>
        <v>1048.79587222125</v>
      </c>
      <c r="M9" s="16"/>
      <c r="N9" s="63">
        <f>'Final Deck Calc'!N9+'deflection summary'!E9/12+'deflection summary'!G9/12</f>
        <v>1048.7955388879166</v>
      </c>
    </row>
    <row r="10" spans="4:14" s="19" customFormat="1" ht="12.75" customHeight="1" x14ac:dyDescent="0.25">
      <c r="D10" s="177"/>
      <c r="E10" s="173">
        <v>0.75</v>
      </c>
      <c r="F10" s="40">
        <f>'Final Deck Calc'!F10</f>
        <v>933.22749999999996</v>
      </c>
      <c r="G10" s="84"/>
      <c r="H10" s="40">
        <f>'Final Deck Calc'!H10</f>
        <v>933.22749999999996</v>
      </c>
      <c r="I10" s="16"/>
      <c r="J10" s="40">
        <f>'Final Deck Calc'!J10</f>
        <v>933.22749999999996</v>
      </c>
      <c r="K10" s="16"/>
      <c r="L10" s="40">
        <f>'Final Deck Calc'!L10</f>
        <v>933.22749999999996</v>
      </c>
      <c r="M10" s="16"/>
      <c r="N10" s="40">
        <f>'Final Deck Calc'!N10</f>
        <v>933.22749999999996</v>
      </c>
    </row>
    <row r="11" spans="4:14" s="19" customFormat="1" ht="12.75" customHeight="1" thickBot="1" x14ac:dyDescent="0.25">
      <c r="D11" s="177"/>
      <c r="E11" s="174"/>
      <c r="F11" s="63">
        <f>'Final Deck Calc'!F11+'deflection summary'!E11/12+'deflection summary'!G11/12</f>
        <v>1049.0639733019789</v>
      </c>
      <c r="G11" s="16"/>
      <c r="H11" s="63">
        <f>'Final Deck Calc'!H11+'deflection summary'!F11/12+'deflection summary'!H11/12</f>
        <v>1049.0641399686458</v>
      </c>
      <c r="I11" s="16"/>
      <c r="J11" s="63">
        <f>'Final Deck Calc'!J11+'deflection summary'!F11/12+'deflection summary'!H11/12</f>
        <v>1049.2561399686458</v>
      </c>
      <c r="K11" s="16"/>
      <c r="L11" s="63">
        <f>'Final Deck Calc'!L11+'deflection summary'!F11/12+'deflection summary'!H11/12</f>
        <v>1049.0641399686458</v>
      </c>
      <c r="M11" s="16"/>
      <c r="N11" s="63">
        <f>'Final Deck Calc'!N11+'deflection summary'!E11/12+'deflection summary'!G11/12</f>
        <v>1049.0639733019789</v>
      </c>
    </row>
    <row r="12" spans="4:14" s="19" customFormat="1" ht="12.75" customHeight="1" x14ac:dyDescent="0.25">
      <c r="D12" s="177"/>
      <c r="E12" s="175" t="s">
        <v>64</v>
      </c>
      <c r="F12" s="40">
        <f>'Final Deck Calc'!F12</f>
        <v>939.79</v>
      </c>
      <c r="G12" s="84"/>
      <c r="H12" s="40">
        <f>'Final Deck Calc'!H12</f>
        <v>939.79</v>
      </c>
      <c r="I12" s="16"/>
      <c r="J12" s="40">
        <f>'Final Deck Calc'!J12</f>
        <v>939.79</v>
      </c>
      <c r="K12" s="16"/>
      <c r="L12" s="40">
        <f>'Final Deck Calc'!L12</f>
        <v>939.79</v>
      </c>
      <c r="M12" s="16"/>
      <c r="N12" s="40">
        <f>'Final Deck Calc'!N12</f>
        <v>939.79</v>
      </c>
    </row>
    <row r="13" spans="4:14" s="19" customFormat="1" ht="12.75" customHeight="1" thickBot="1" x14ac:dyDescent="0.25">
      <c r="D13" s="178"/>
      <c r="E13" s="174"/>
      <c r="F13" s="65">
        <f>'Final Deck Calc'!F13+'deflection summary'!E13/12+'deflection summary'!G13/12</f>
        <v>1049.3008445649998</v>
      </c>
      <c r="G13" s="85"/>
      <c r="H13" s="65">
        <f>'Final Deck Calc'!H13+'deflection summary'!F13/12+'deflection summary'!H13/12</f>
        <v>1049.3008445649998</v>
      </c>
      <c r="I13" s="85"/>
      <c r="J13" s="65">
        <f>'Final Deck Calc'!J13+'deflection summary'!F13/12+'deflection summary'!H13/12</f>
        <v>1049.4928445649998</v>
      </c>
      <c r="K13" s="85"/>
      <c r="L13" s="65">
        <f>'Final Deck Calc'!L13+'deflection summary'!F13/12+'deflection summary'!H13/12</f>
        <v>1049.3008445649998</v>
      </c>
      <c r="M13" s="85"/>
      <c r="N13" s="65">
        <f>'Final Deck Calc'!N13+'deflection summary'!E13/12+'deflection summary'!G13/12</f>
        <v>1049.3008445649998</v>
      </c>
    </row>
    <row r="14" spans="4:14" s="21" customFormat="1" ht="12.75" customHeight="1" x14ac:dyDescent="0.25">
      <c r="D14" s="126" t="s">
        <v>58</v>
      </c>
      <c r="E14" s="165" t="s">
        <v>65</v>
      </c>
      <c r="F14" s="40">
        <f>'Final Deck Calc'!F14</f>
        <v>941.29</v>
      </c>
      <c r="G14" s="40"/>
      <c r="H14" s="40">
        <f>'Final Deck Calc'!H14</f>
        <v>941.29</v>
      </c>
      <c r="I14" s="40"/>
      <c r="J14" s="40">
        <f>'Final Deck Calc'!J14</f>
        <v>941.29</v>
      </c>
      <c r="K14" s="40"/>
      <c r="L14" s="40">
        <f>'Final Deck Calc'!L14</f>
        <v>941.29</v>
      </c>
      <c r="M14" s="40"/>
      <c r="N14" s="40">
        <f>'Final Deck Calc'!N14</f>
        <v>941.29</v>
      </c>
    </row>
    <row r="15" spans="4:14" s="23" customFormat="1" ht="12.75" customHeight="1" thickBot="1" x14ac:dyDescent="0.25">
      <c r="D15" s="127"/>
      <c r="E15" s="113"/>
      <c r="F15" s="63">
        <f>'Final Deck Calc'!F15+'deflection summary'!E15/12+'deflection summary'!G15/12</f>
        <v>1049.3512775649999</v>
      </c>
      <c r="G15" s="63"/>
      <c r="H15" s="63">
        <f>'Final Deck Calc'!H15+'deflection summary'!F15/12+'deflection summary'!H15/12</f>
        <v>1049.3512775649999</v>
      </c>
      <c r="I15" s="63"/>
      <c r="J15" s="63">
        <f>'Final Deck Calc'!J15+'deflection summary'!F15/12+'deflection summary'!H15/12</f>
        <v>1049.5432775649999</v>
      </c>
      <c r="K15" s="63"/>
      <c r="L15" s="63">
        <f>'Final Deck Calc'!L15+'deflection summary'!F15/12+'deflection summary'!H15/12</f>
        <v>1049.3512775649999</v>
      </c>
      <c r="M15" s="63"/>
      <c r="N15" s="63">
        <f>'Final Deck Calc'!N15+'deflection summary'!E15/12+'deflection summary'!G15/12</f>
        <v>1049.3512775649999</v>
      </c>
    </row>
    <row r="16" spans="4:14" s="21" customFormat="1" ht="12.75" customHeight="1" x14ac:dyDescent="0.25">
      <c r="D16" s="127"/>
      <c r="E16" s="173">
        <v>0.1</v>
      </c>
      <c r="F16" s="40">
        <f>'Final Deck Calc'!F16</f>
        <v>951.04</v>
      </c>
      <c r="G16" s="40"/>
      <c r="H16" s="40">
        <f>'Final Deck Calc'!H16</f>
        <v>951.04</v>
      </c>
      <c r="I16" s="40"/>
      <c r="J16" s="40">
        <f>'Final Deck Calc'!J16</f>
        <v>951.04</v>
      </c>
      <c r="K16" s="40"/>
      <c r="L16" s="40">
        <f>'Final Deck Calc'!L16</f>
        <v>951.04</v>
      </c>
      <c r="M16" s="40"/>
      <c r="N16" s="40">
        <f>'Final Deck Calc'!N16</f>
        <v>951.04</v>
      </c>
    </row>
    <row r="17" spans="4:14" s="23" customFormat="1" ht="12.75" customHeight="1" thickBot="1" x14ac:dyDescent="0.25">
      <c r="D17" s="127"/>
      <c r="E17" s="174"/>
      <c r="F17" s="63">
        <f>'Final Deck Calc'!F17+'deflection summary'!E17/12+'deflection summary'!G17/12</f>
        <v>1049.7131181066668</v>
      </c>
      <c r="G17" s="63"/>
      <c r="H17" s="63">
        <f>'Final Deck Calc'!H17+'deflection summary'!F17/12+'deflection summary'!H17/12</f>
        <v>1049.7182847733332</v>
      </c>
      <c r="I17" s="63"/>
      <c r="J17" s="63">
        <f>'Final Deck Calc'!J17+'deflection summary'!F17/12+'deflection summary'!H17/12</f>
        <v>1049.9102847733332</v>
      </c>
      <c r="K17" s="63"/>
      <c r="L17" s="63">
        <f>'Final Deck Calc'!L17+'deflection summary'!F17/12+'deflection summary'!H17/12</f>
        <v>1049.7182847733332</v>
      </c>
      <c r="M17" s="63"/>
      <c r="N17" s="63">
        <f>'Final Deck Calc'!N17+'deflection summary'!E17/12+'deflection summary'!G17/12</f>
        <v>1049.7131181066668</v>
      </c>
    </row>
    <row r="18" spans="4:14" s="23" customFormat="1" ht="12.75" customHeight="1" x14ac:dyDescent="0.2">
      <c r="D18" s="127"/>
      <c r="E18" s="173">
        <v>0.2</v>
      </c>
      <c r="F18" s="40">
        <f>'Final Deck Calc'!F18</f>
        <v>960.79</v>
      </c>
      <c r="G18" s="40"/>
      <c r="H18" s="40">
        <f>'Final Deck Calc'!H18</f>
        <v>960.79</v>
      </c>
      <c r="I18" s="40"/>
      <c r="J18" s="40">
        <f>'Final Deck Calc'!J18</f>
        <v>960.79</v>
      </c>
      <c r="K18" s="40"/>
      <c r="L18" s="40">
        <f>'Final Deck Calc'!L18</f>
        <v>960.79</v>
      </c>
      <c r="M18" s="40"/>
      <c r="N18" s="40">
        <f>'Final Deck Calc'!N18</f>
        <v>960.79</v>
      </c>
    </row>
    <row r="19" spans="4:14" s="23" customFormat="1" ht="12.75" customHeight="1" thickBot="1" x14ac:dyDescent="0.25">
      <c r="D19" s="127"/>
      <c r="E19" s="174"/>
      <c r="F19" s="63">
        <f>'Final Deck Calc'!F19+'deflection summary'!E19/12+'deflection summary'!G19/12</f>
        <v>1050.0007482316666</v>
      </c>
      <c r="G19" s="63"/>
      <c r="H19" s="63">
        <f>'Final Deck Calc'!H19+'deflection summary'!F19/12+'deflection summary'!H19/12</f>
        <v>1050.0103315649999</v>
      </c>
      <c r="I19" s="63"/>
      <c r="J19" s="63">
        <f>'Final Deck Calc'!J19+'deflection summary'!F19/12+'deflection summary'!H19/12</f>
        <v>1050.2023315649999</v>
      </c>
      <c r="K19" s="63"/>
      <c r="L19" s="63">
        <f>'Final Deck Calc'!L19+'deflection summary'!F19/12+'deflection summary'!H19/12</f>
        <v>1050.0103315649999</v>
      </c>
      <c r="M19" s="63"/>
      <c r="N19" s="63">
        <f>'Final Deck Calc'!N19+'deflection summary'!E19/12+'deflection summary'!G19/12</f>
        <v>1050.0007482316666</v>
      </c>
    </row>
    <row r="20" spans="4:14" s="23" customFormat="1" ht="12.75" customHeight="1" x14ac:dyDescent="0.2">
      <c r="D20" s="127"/>
      <c r="E20" s="173">
        <v>0.3</v>
      </c>
      <c r="F20" s="40">
        <f>'Final Deck Calc'!F20</f>
        <v>970.54</v>
      </c>
      <c r="G20" s="40"/>
      <c r="H20" s="40">
        <f>'Final Deck Calc'!H20</f>
        <v>970.54</v>
      </c>
      <c r="I20" s="40"/>
      <c r="J20" s="40">
        <f>'Final Deck Calc'!J20</f>
        <v>970.54</v>
      </c>
      <c r="K20" s="40"/>
      <c r="L20" s="40">
        <f>'Final Deck Calc'!L20</f>
        <v>970.54</v>
      </c>
      <c r="M20" s="40"/>
      <c r="N20" s="40">
        <f>'Final Deck Calc'!N20</f>
        <v>970.54</v>
      </c>
    </row>
    <row r="21" spans="4:14" s="23" customFormat="1" ht="12.75" customHeight="1" thickBot="1" x14ac:dyDescent="0.25">
      <c r="D21" s="127"/>
      <c r="E21" s="174"/>
      <c r="F21" s="63">
        <f>'Final Deck Calc'!F21+'deflection summary'!E21/12+'deflection summary'!G21/12</f>
        <v>1050.2075846066666</v>
      </c>
      <c r="G21" s="63"/>
      <c r="H21" s="63">
        <f>'Final Deck Calc'!H21+'deflection summary'!F21/12+'deflection summary'!H21/12</f>
        <v>1050.2209179399999</v>
      </c>
      <c r="I21" s="63"/>
      <c r="J21" s="63">
        <f>'Final Deck Calc'!J21+'deflection summary'!F21/12+'deflection summary'!H21/12</f>
        <v>1050.4129179399999</v>
      </c>
      <c r="K21" s="63"/>
      <c r="L21" s="63">
        <f>'Final Deck Calc'!L21+'deflection summary'!F21/12+'deflection summary'!H21/12</f>
        <v>1050.2209179399999</v>
      </c>
      <c r="M21" s="63"/>
      <c r="N21" s="63">
        <f>'Final Deck Calc'!N21+'deflection summary'!E21/12+'deflection summary'!G21/12</f>
        <v>1050.2075846066666</v>
      </c>
    </row>
    <row r="22" spans="4:14" s="23" customFormat="1" ht="12.75" customHeight="1" x14ac:dyDescent="0.2">
      <c r="D22" s="127"/>
      <c r="E22" s="113" t="s">
        <v>75</v>
      </c>
      <c r="F22" s="40">
        <f>'Final Deck Calc'!F22</f>
        <v>973.79</v>
      </c>
      <c r="G22" s="63"/>
      <c r="H22" s="40">
        <f>'Final Deck Calc'!H22</f>
        <v>973.79</v>
      </c>
      <c r="I22" s="63"/>
      <c r="J22" s="40">
        <f>'Final Deck Calc'!J22</f>
        <v>973.79</v>
      </c>
      <c r="K22" s="63"/>
      <c r="L22" s="40">
        <f>'Final Deck Calc'!L22</f>
        <v>973.79</v>
      </c>
      <c r="M22" s="63"/>
      <c r="N22" s="40">
        <f>'Final Deck Calc'!N22</f>
        <v>973.79</v>
      </c>
    </row>
    <row r="23" spans="4:14" s="23" customFormat="1" ht="12.75" customHeight="1" thickBot="1" x14ac:dyDescent="0.25">
      <c r="D23" s="127"/>
      <c r="E23" s="113"/>
      <c r="F23" s="63">
        <f>'Final Deck Calc'!F23+'deflection summary'!E23/12+'deflection summary'!G23/12</f>
        <v>1050.2557408643199</v>
      </c>
      <c r="G23" s="63"/>
      <c r="H23" s="63">
        <f>'Final Deck Calc'!H23+'deflection summary'!F23/12+'deflection summary'!H23/12</f>
        <v>1050.2698037894897</v>
      </c>
      <c r="I23" s="63"/>
      <c r="J23" s="63">
        <f>'Final Deck Calc'!J23+'deflection summary'!F23/12+'deflection summary'!H23/12</f>
        <v>1050.4618037894897</v>
      </c>
      <c r="K23" s="63"/>
      <c r="L23" s="63">
        <f>'Final Deck Calc'!L23+'deflection summary'!F23/12+'deflection summary'!H23/12</f>
        <v>1050.2698037894897</v>
      </c>
      <c r="M23" s="63"/>
      <c r="N23" s="63">
        <f>'Final Deck Calc'!N23+'deflection summary'!E23/12+'deflection summary'!G23/12</f>
        <v>1050.2557408643199</v>
      </c>
    </row>
    <row r="24" spans="4:14" s="23" customFormat="1" ht="12.75" customHeight="1" x14ac:dyDescent="0.2">
      <c r="D24" s="127"/>
      <c r="E24" s="173">
        <v>0.4</v>
      </c>
      <c r="F24" s="40">
        <f>'Final Deck Calc'!F24</f>
        <v>980.29</v>
      </c>
      <c r="G24" s="40"/>
      <c r="H24" s="40">
        <f>'Final Deck Calc'!H24</f>
        <v>980.29</v>
      </c>
      <c r="I24" s="40"/>
      <c r="J24" s="40">
        <f>'Final Deck Calc'!J24</f>
        <v>980.29</v>
      </c>
      <c r="K24" s="40"/>
      <c r="L24" s="40">
        <f>'Final Deck Calc'!L24</f>
        <v>980.29</v>
      </c>
      <c r="M24" s="40"/>
      <c r="N24" s="40">
        <f>'Final Deck Calc'!N24</f>
        <v>980.29</v>
      </c>
    </row>
    <row r="25" spans="4:14" s="23" customFormat="1" ht="12.75" customHeight="1" thickBot="1" x14ac:dyDescent="0.25">
      <c r="D25" s="127"/>
      <c r="E25" s="174"/>
      <c r="F25" s="63">
        <f>'Final Deck Calc'!F25+'deflection summary'!E25/12+'deflection summary'!G25/12</f>
        <v>1050.3295438983332</v>
      </c>
      <c r="G25" s="63"/>
      <c r="H25" s="63">
        <f>'Final Deck Calc'!H25+'deflection summary'!F25/12+'deflection summary'!H25/12</f>
        <v>1050.3450438983332</v>
      </c>
      <c r="I25" s="63"/>
      <c r="J25" s="63">
        <f>'Final Deck Calc'!J25+'deflection summary'!F25/12+'deflection summary'!H25/12</f>
        <v>1050.5370438983332</v>
      </c>
      <c r="K25" s="63"/>
      <c r="L25" s="63">
        <f>'Final Deck Calc'!L25+'deflection summary'!F25/12+'deflection summary'!H25/12</f>
        <v>1050.3450438983332</v>
      </c>
      <c r="M25" s="63"/>
      <c r="N25" s="63">
        <f>'Final Deck Calc'!N25+'deflection summary'!E25/12+'deflection summary'!G25/12</f>
        <v>1050.3295438983332</v>
      </c>
    </row>
    <row r="26" spans="4:14" s="23" customFormat="1" ht="12.75" customHeight="1" x14ac:dyDescent="0.2">
      <c r="D26" s="127"/>
      <c r="E26" s="143">
        <v>0.5</v>
      </c>
      <c r="F26" s="40">
        <f>'Final Deck Calc'!F26</f>
        <v>990.04</v>
      </c>
      <c r="G26" s="40"/>
      <c r="H26" s="40">
        <f>'Final Deck Calc'!H26</f>
        <v>990.04</v>
      </c>
      <c r="I26" s="40"/>
      <c r="J26" s="40">
        <f>'Final Deck Calc'!J26</f>
        <v>990.04</v>
      </c>
      <c r="K26" s="40"/>
      <c r="L26" s="40">
        <f>'Final Deck Calc'!L26</f>
        <v>990.04</v>
      </c>
      <c r="M26" s="40"/>
      <c r="N26" s="40">
        <f>'Final Deck Calc'!N26</f>
        <v>990.04</v>
      </c>
    </row>
    <row r="27" spans="4:14" s="23" customFormat="1" ht="12.75" customHeight="1" thickBot="1" x14ac:dyDescent="0.25">
      <c r="D27" s="127"/>
      <c r="E27" s="185"/>
      <c r="F27" s="63">
        <f>'Final Deck Calc'!F27+'deflection summary'!E27/12+'deflection summary'!G27/12</f>
        <v>1050.3637927733332</v>
      </c>
      <c r="G27" s="63"/>
      <c r="H27" s="63">
        <f>'Final Deck Calc'!H27+'deflection summary'!F27/12+'deflection summary'!H27/12</f>
        <v>1050.3801261066667</v>
      </c>
      <c r="I27" s="63"/>
      <c r="J27" s="63">
        <f>'Final Deck Calc'!J27+'deflection summary'!F27/12+'deflection summary'!H27/12</f>
        <v>1050.5721261066667</v>
      </c>
      <c r="K27" s="63"/>
      <c r="L27" s="63">
        <f>'Final Deck Calc'!L27+'deflection summary'!F27/12+'deflection summary'!H27/12</f>
        <v>1050.3801261066667</v>
      </c>
      <c r="M27" s="63"/>
      <c r="N27" s="63">
        <f>'Final Deck Calc'!N27+'deflection summary'!E27/12+'deflection summary'!G27/12</f>
        <v>1050.3637927733332</v>
      </c>
    </row>
    <row r="28" spans="4:14" s="21" customFormat="1" ht="12.75" customHeight="1" x14ac:dyDescent="0.25">
      <c r="D28" s="127"/>
      <c r="E28" s="173">
        <v>0.6</v>
      </c>
      <c r="F28" s="40">
        <f>'Final Deck Calc'!F28</f>
        <v>999.79</v>
      </c>
      <c r="G28" s="40"/>
      <c r="H28" s="40">
        <f>'Final Deck Calc'!H28</f>
        <v>999.79</v>
      </c>
      <c r="I28" s="40"/>
      <c r="J28" s="40">
        <f>'Final Deck Calc'!J28</f>
        <v>999.79</v>
      </c>
      <c r="K28" s="40"/>
      <c r="L28" s="40">
        <f>'Final Deck Calc'!L28</f>
        <v>999.79</v>
      </c>
      <c r="M28" s="40"/>
      <c r="N28" s="40">
        <f>'Final Deck Calc'!N28</f>
        <v>999.79</v>
      </c>
    </row>
    <row r="29" spans="4:14" s="23" customFormat="1" ht="12.75" customHeight="1" thickBot="1" x14ac:dyDescent="0.25">
      <c r="D29" s="127"/>
      <c r="E29" s="174"/>
      <c r="F29" s="63">
        <f>'Final Deck Calc'!F29+'deflection summary'!E29/12+'deflection summary'!G29/12</f>
        <v>1050.3094978983333</v>
      </c>
      <c r="G29" s="63"/>
      <c r="H29" s="63">
        <f>'Final Deck Calc'!H29+'deflection summary'!F29/12+'deflection summary'!H29/12</f>
        <v>1050.3250812316667</v>
      </c>
      <c r="I29" s="63"/>
      <c r="J29" s="63">
        <f>'Final Deck Calc'!J29+'deflection summary'!F29/12+'deflection summary'!H29/12</f>
        <v>1050.5170812316667</v>
      </c>
      <c r="K29" s="63"/>
      <c r="L29" s="63">
        <f>'Final Deck Calc'!L29+'deflection summary'!F29/12+'deflection summary'!H29/12</f>
        <v>1050.3250812316667</v>
      </c>
      <c r="M29" s="63"/>
      <c r="N29" s="63">
        <f>'Final Deck Calc'!N29+'deflection summary'!E29/12+'deflection summary'!G29/12</f>
        <v>1050.3094978983333</v>
      </c>
    </row>
    <row r="30" spans="4:14" s="23" customFormat="1" ht="12.75" customHeight="1" x14ac:dyDescent="0.2">
      <c r="D30" s="127"/>
      <c r="E30" s="113" t="s">
        <v>76</v>
      </c>
      <c r="F30" s="40">
        <f>'Final Deck Calc'!F30</f>
        <v>1006.29</v>
      </c>
      <c r="G30" s="63"/>
      <c r="H30" s="40">
        <f>'Final Deck Calc'!H30</f>
        <v>1006.29</v>
      </c>
      <c r="I30" s="63"/>
      <c r="J30" s="40">
        <f>'Final Deck Calc'!J30</f>
        <v>1006.29</v>
      </c>
      <c r="K30" s="63"/>
      <c r="L30" s="40">
        <f>'Final Deck Calc'!L30</f>
        <v>1006.29</v>
      </c>
      <c r="M30" s="63"/>
      <c r="N30" s="40">
        <f>'Final Deck Calc'!N30</f>
        <v>1006.29</v>
      </c>
    </row>
    <row r="31" spans="4:14" s="23" customFormat="1" ht="12.75" customHeight="1" thickBot="1" x14ac:dyDescent="0.25">
      <c r="D31" s="127"/>
      <c r="E31" s="113"/>
      <c r="F31" s="63">
        <f>'Final Deck Calc'!F31+'deflection summary'!E31/12+'deflection summary'!G31/12</f>
        <v>1050.2221109155155</v>
      </c>
      <c r="G31" s="63"/>
      <c r="H31" s="63">
        <f>'Final Deck Calc'!H31+'deflection summary'!F31/12+'deflection summary'!H31/12</f>
        <v>1050.23618651689</v>
      </c>
      <c r="I31" s="63"/>
      <c r="J31" s="63">
        <f>'Final Deck Calc'!J31+'deflection summary'!F31/12+'deflection summary'!H31/12</f>
        <v>1050.42818651689</v>
      </c>
      <c r="K31" s="63"/>
      <c r="L31" s="63">
        <f>'Final Deck Calc'!L31+'deflection summary'!F31/12+'deflection summary'!H31/12</f>
        <v>1050.23618651689</v>
      </c>
      <c r="M31" s="63"/>
      <c r="N31" s="63">
        <f>'Final Deck Calc'!N31+'deflection summary'!E31/12+'deflection summary'!G31/12</f>
        <v>1050.2221109155155</v>
      </c>
    </row>
    <row r="32" spans="4:14" s="21" customFormat="1" ht="12.75" customHeight="1" x14ac:dyDescent="0.25">
      <c r="D32" s="127"/>
      <c r="E32" s="173">
        <v>0.7</v>
      </c>
      <c r="F32" s="40">
        <f>'Final Deck Calc'!F32</f>
        <v>1009.54</v>
      </c>
      <c r="G32" s="40"/>
      <c r="H32" s="40">
        <f>'Final Deck Calc'!H32</f>
        <v>1009.54</v>
      </c>
      <c r="I32" s="40"/>
      <c r="J32" s="40">
        <f>'Final Deck Calc'!J32</f>
        <v>1009.54</v>
      </c>
      <c r="K32" s="40"/>
      <c r="L32" s="40">
        <f>'Final Deck Calc'!L32</f>
        <v>1009.54</v>
      </c>
      <c r="M32" s="40"/>
      <c r="N32" s="40">
        <f>'Final Deck Calc'!N32</f>
        <v>1009.54</v>
      </c>
    </row>
    <row r="33" spans="4:14" s="23" customFormat="1" ht="12.75" customHeight="1" thickBot="1" x14ac:dyDescent="0.25">
      <c r="D33" s="127"/>
      <c r="E33" s="174"/>
      <c r="F33" s="63">
        <f>'Final Deck Calc'!F33+'deflection summary'!E33/12+'deflection summary'!G33/12</f>
        <v>1050.1674926066667</v>
      </c>
      <c r="G33" s="63"/>
      <c r="H33" s="63">
        <f>'Final Deck Calc'!H33+'deflection summary'!F33/12+'deflection summary'!H33/12</f>
        <v>1050.18082594</v>
      </c>
      <c r="I33" s="63"/>
      <c r="J33" s="63">
        <f>'Final Deck Calc'!J33+'deflection summary'!F33/12+'deflection summary'!H33/12</f>
        <v>1050.37282594</v>
      </c>
      <c r="K33" s="63"/>
      <c r="L33" s="63">
        <f>'Final Deck Calc'!L33+'deflection summary'!F33/12+'deflection summary'!H33/12</f>
        <v>1050.18082594</v>
      </c>
      <c r="M33" s="63"/>
      <c r="N33" s="63">
        <f>'Final Deck Calc'!N33+'deflection summary'!E33/12+'deflection summary'!G33/12</f>
        <v>1050.1674926066667</v>
      </c>
    </row>
    <row r="34" spans="4:14" s="23" customFormat="1" ht="12.75" customHeight="1" x14ac:dyDescent="0.2">
      <c r="D34" s="127"/>
      <c r="E34" s="173">
        <v>0.8</v>
      </c>
      <c r="F34" s="40">
        <f>'Final Deck Calc'!F34</f>
        <v>1019.29</v>
      </c>
      <c r="G34" s="40"/>
      <c r="H34" s="40">
        <f>'Final Deck Calc'!H34</f>
        <v>1019.29</v>
      </c>
      <c r="I34" s="40"/>
      <c r="J34" s="40">
        <f>'Final Deck Calc'!J34</f>
        <v>1019.29</v>
      </c>
      <c r="K34" s="40"/>
      <c r="L34" s="40">
        <f>'Final Deck Calc'!L34</f>
        <v>1019.29</v>
      </c>
      <c r="M34" s="40"/>
      <c r="N34" s="40">
        <f>'Final Deck Calc'!N34</f>
        <v>1019.29</v>
      </c>
    </row>
    <row r="35" spans="4:14" s="23" customFormat="1" ht="12.75" customHeight="1" thickBot="1" x14ac:dyDescent="0.25">
      <c r="D35" s="127"/>
      <c r="E35" s="174"/>
      <c r="F35" s="63">
        <f>'Final Deck Calc'!F35+'deflection summary'!E35/12+'deflection summary'!G35/12</f>
        <v>1049.9406102316666</v>
      </c>
      <c r="G35" s="63"/>
      <c r="H35" s="63">
        <f>'Final Deck Calc'!H35+'deflection summary'!F35/12+'deflection summary'!H35/12</f>
        <v>1049.9503602316665</v>
      </c>
      <c r="I35" s="63"/>
      <c r="J35" s="63">
        <f>'Final Deck Calc'!J35+'deflection summary'!F35/12+'deflection summary'!H35/12</f>
        <v>1050.1423602316665</v>
      </c>
      <c r="K35" s="63"/>
      <c r="L35" s="63">
        <f>'Final Deck Calc'!L35+'deflection summary'!F35/12+'deflection summary'!H35/12</f>
        <v>1049.9503602316665</v>
      </c>
      <c r="M35" s="63"/>
      <c r="N35" s="63">
        <f>'Final Deck Calc'!N35+'deflection summary'!E35/12+'deflection summary'!G35/12</f>
        <v>1049.9406102316666</v>
      </c>
    </row>
    <row r="36" spans="4:14" s="23" customFormat="1" ht="12.75" customHeight="1" x14ac:dyDescent="0.2">
      <c r="D36" s="127"/>
      <c r="E36" s="135">
        <v>0.9</v>
      </c>
      <c r="F36" s="40">
        <f>'Final Deck Calc'!F36</f>
        <v>1029.04</v>
      </c>
      <c r="G36" s="40"/>
      <c r="H36" s="40">
        <f>'Final Deck Calc'!H36</f>
        <v>1029.04</v>
      </c>
      <c r="I36" s="40"/>
      <c r="J36" s="40">
        <f>'Final Deck Calc'!J36</f>
        <v>1029.04</v>
      </c>
      <c r="K36" s="40"/>
      <c r="L36" s="40">
        <f>'Final Deck Calc'!L36</f>
        <v>1029.04</v>
      </c>
      <c r="M36" s="40"/>
      <c r="N36" s="40">
        <f>'Final Deck Calc'!N36</f>
        <v>1029.04</v>
      </c>
    </row>
    <row r="37" spans="4:14" s="23" customFormat="1" ht="12.75" customHeight="1" thickBot="1" x14ac:dyDescent="0.25">
      <c r="D37" s="127"/>
      <c r="E37" s="136"/>
      <c r="F37" s="63">
        <f>'Final Deck Calc'!F37+'deflection summary'!E37/12+'deflection summary'!G37/12</f>
        <v>1049.6330174400002</v>
      </c>
      <c r="G37" s="63"/>
      <c r="H37" s="63">
        <f>'Final Deck Calc'!H37+'deflection summary'!F37/12+'deflection summary'!H37/12</f>
        <v>1049.6381841066666</v>
      </c>
      <c r="I37" s="63"/>
      <c r="J37" s="65">
        <f>'Final Deck Calc'!J37+'deflection summary'!F37/12+'deflection summary'!H37/12</f>
        <v>1049.8301841066666</v>
      </c>
      <c r="K37" s="65"/>
      <c r="L37" s="63">
        <f>'Final Deck Calc'!L37+'deflection summary'!F37/12+'deflection summary'!H37/12</f>
        <v>1049.6381841066666</v>
      </c>
      <c r="M37" s="65"/>
      <c r="N37" s="65">
        <f>'Final Deck Calc'!N37+'deflection summary'!E37/12+'deflection summary'!G37/12</f>
        <v>1049.6330174400002</v>
      </c>
    </row>
    <row r="38" spans="4:14" ht="12.75" customHeight="1" x14ac:dyDescent="0.25">
      <c r="D38" s="127"/>
      <c r="E38" s="175" t="s">
        <v>67</v>
      </c>
      <c r="F38" s="40">
        <f>'Final Deck Calc'!F38</f>
        <v>1038.79</v>
      </c>
      <c r="G38" s="64"/>
      <c r="H38" s="40">
        <f>'Final Deck Calc'!H38</f>
        <v>1038.79</v>
      </c>
      <c r="I38" s="64"/>
      <c r="J38" s="64">
        <f>'Final Deck Calc'!J38</f>
        <v>1038.79</v>
      </c>
      <c r="K38" s="64"/>
      <c r="L38" s="40">
        <f>'Final Deck Calc'!L38</f>
        <v>1038.79</v>
      </c>
      <c r="M38" s="64"/>
      <c r="N38" s="64">
        <f>'Final Deck Calc'!N38</f>
        <v>1038.79</v>
      </c>
    </row>
    <row r="39" spans="4:14" ht="12.75" customHeight="1" thickBot="1" x14ac:dyDescent="0.25">
      <c r="D39" s="128"/>
      <c r="E39" s="174"/>
      <c r="F39" s="65">
        <f>'Final Deck Calc'!F39+'deflection summary'!E39/12+'deflection summary'!G39/12</f>
        <v>1049.2510475649999</v>
      </c>
      <c r="G39" s="65"/>
      <c r="H39" s="63">
        <f>'Final Deck Calc'!H39+'deflection summary'!F39/12+'deflection summary'!H39/12</f>
        <v>1049.2510475649999</v>
      </c>
      <c r="I39" s="65"/>
      <c r="J39" s="65">
        <f>'Final Deck Calc'!J39+'deflection summary'!F39/12+'deflection summary'!H39/12</f>
        <v>1049.4430475649999</v>
      </c>
      <c r="K39" s="65"/>
      <c r="L39" s="63">
        <f>'Final Deck Calc'!L39+'deflection summary'!F39/12+'deflection summary'!H39/12</f>
        <v>1049.2510475649999</v>
      </c>
      <c r="M39" s="65"/>
      <c r="N39" s="65">
        <f>'Final Deck Calc'!N39+'deflection summary'!E39/12+'deflection summary'!G39/12</f>
        <v>1049.2510475649999</v>
      </c>
    </row>
    <row r="40" spans="4:14" ht="12.75" customHeight="1" x14ac:dyDescent="0.2">
      <c r="D40" s="183" t="s">
        <v>66</v>
      </c>
      <c r="E40" s="175" t="s">
        <v>74</v>
      </c>
      <c r="F40" s="40">
        <f>'Final Deck Calc'!F40</f>
        <v>1040.29</v>
      </c>
      <c r="G40" s="62"/>
      <c r="H40" s="40">
        <f>'Final Deck Calc'!H40</f>
        <v>1040.29</v>
      </c>
      <c r="I40" s="62"/>
      <c r="J40" s="64">
        <f>'Final Deck Calc'!J40</f>
        <v>1040.29</v>
      </c>
      <c r="K40" s="62"/>
      <c r="L40" s="40">
        <f>'Final Deck Calc'!L40</f>
        <v>1040.29</v>
      </c>
      <c r="M40" s="62"/>
      <c r="N40" s="40">
        <f>'Final Deck Calc'!N40</f>
        <v>1040.29</v>
      </c>
    </row>
    <row r="41" spans="4:14" ht="12.75" customHeight="1" thickBot="1" x14ac:dyDescent="0.25">
      <c r="D41" s="183"/>
      <c r="E41" s="174"/>
      <c r="F41" s="65">
        <f>'Final Deck Calc'!F41+'deflection summary'!E41/12+'deflection summary'!G41/12</f>
        <v>1049.1975305649999</v>
      </c>
      <c r="G41" s="62"/>
      <c r="H41" s="63">
        <f>'Final Deck Calc'!H41+'deflection summary'!F41/12+'deflection summary'!H41/12</f>
        <v>1049.1975305649999</v>
      </c>
      <c r="I41" s="62"/>
      <c r="J41" s="65">
        <f>'Final Deck Calc'!J41+'deflection summary'!F41/12+'deflection summary'!H41/12</f>
        <v>1049.3895305649999</v>
      </c>
      <c r="K41" s="62"/>
      <c r="L41" s="63">
        <f>'Final Deck Calc'!L41+'deflection summary'!F41/12+'deflection summary'!H41/12</f>
        <v>1049.1975305649999</v>
      </c>
      <c r="M41" s="62"/>
      <c r="N41" s="65">
        <f>'Final Deck Calc'!N41+'deflection summary'!E41/12+'deflection summary'!G41/12</f>
        <v>1049.1975305649999</v>
      </c>
    </row>
    <row r="42" spans="4:14" ht="12.75" customHeight="1" x14ac:dyDescent="0.2">
      <c r="D42" s="183"/>
      <c r="E42" s="173">
        <v>0.25</v>
      </c>
      <c r="F42" s="40">
        <f>'Final Deck Calc'!F42</f>
        <v>1046.8525</v>
      </c>
      <c r="G42" s="62"/>
      <c r="H42" s="40">
        <f>'Final Deck Calc'!H42</f>
        <v>1046.8525</v>
      </c>
      <c r="I42" s="62"/>
      <c r="J42" s="64">
        <f>'Final Deck Calc'!J42</f>
        <v>1046.8525</v>
      </c>
      <c r="K42" s="62"/>
      <c r="L42" s="40">
        <f>'Final Deck Calc'!L42</f>
        <v>1046.8525</v>
      </c>
      <c r="M42" s="62"/>
      <c r="N42" s="40">
        <f>'Final Deck Calc'!N42</f>
        <v>1046.8525</v>
      </c>
    </row>
    <row r="43" spans="4:14" ht="12.75" customHeight="1" thickBot="1" x14ac:dyDescent="0.25">
      <c r="D43" s="183"/>
      <c r="E43" s="174"/>
      <c r="F43" s="65">
        <f>'Final Deck Calc'!F43+'deflection summary'!E43/12+'deflection summary'!G43/12</f>
        <v>1048.9471251353125</v>
      </c>
      <c r="G43" s="62"/>
      <c r="H43" s="63">
        <f>'Final Deck Calc'!H43+'deflection summary'!F43/12+'deflection summary'!H43/12</f>
        <v>1048.9473334686459</v>
      </c>
      <c r="I43" s="62"/>
      <c r="J43" s="65">
        <f>'Final Deck Calc'!J43+'deflection summary'!F43/12+'deflection summary'!H43/12</f>
        <v>1049.1393334686459</v>
      </c>
      <c r="K43" s="62"/>
      <c r="L43" s="63">
        <f>'Final Deck Calc'!L43+'deflection summary'!F43/12+'deflection summary'!H43/12</f>
        <v>1048.9473334686459</v>
      </c>
      <c r="M43" s="62"/>
      <c r="N43" s="65">
        <f>'Final Deck Calc'!N43+'deflection summary'!E43/12+'deflection summary'!G43/12</f>
        <v>1048.9471251353125</v>
      </c>
    </row>
    <row r="44" spans="4:14" ht="12.75" customHeight="1" x14ac:dyDescent="0.2">
      <c r="D44" s="183"/>
      <c r="E44" s="173">
        <v>0.5</v>
      </c>
      <c r="F44" s="40">
        <f>'Final Deck Calc'!F44</f>
        <v>1053.415</v>
      </c>
      <c r="G44" s="62"/>
      <c r="H44" s="40">
        <f>'Final Deck Calc'!H44</f>
        <v>1053.415</v>
      </c>
      <c r="I44" s="62"/>
      <c r="J44" s="64">
        <f>'Final Deck Calc'!J44</f>
        <v>1053.415</v>
      </c>
      <c r="K44" s="62"/>
      <c r="L44" s="40">
        <f>'Final Deck Calc'!L44</f>
        <v>1053.415</v>
      </c>
      <c r="M44" s="62"/>
      <c r="N44" s="40">
        <f>'Final Deck Calc'!N44</f>
        <v>1053.415</v>
      </c>
    </row>
    <row r="45" spans="4:14" ht="12.75" customHeight="1" thickBot="1" x14ac:dyDescent="0.25">
      <c r="D45" s="183"/>
      <c r="E45" s="174"/>
      <c r="F45" s="65">
        <f>'Final Deck Calc'!F45+'deflection summary'!E45/12+'deflection summary'!G45/12</f>
        <v>1048.6652398879166</v>
      </c>
      <c r="G45" s="62"/>
      <c r="H45" s="63">
        <f>'Final Deck Calc'!H45+'deflection summary'!F45/12+'deflection summary'!H45/12</f>
        <v>1048.66557322125</v>
      </c>
      <c r="I45" s="62"/>
      <c r="J45" s="65">
        <f>'Final Deck Calc'!J45+'deflection summary'!F45/12+'deflection summary'!H45/12</f>
        <v>1048.85757322125</v>
      </c>
      <c r="K45" s="62"/>
      <c r="L45" s="63">
        <f>'Final Deck Calc'!L45+'deflection summary'!F45/12+'deflection summary'!H45/12</f>
        <v>1048.66557322125</v>
      </c>
      <c r="M45" s="62"/>
      <c r="N45" s="65">
        <f>'Final Deck Calc'!N45+'deflection summary'!E45/12+'deflection summary'!G45/12</f>
        <v>1048.6652398879166</v>
      </c>
    </row>
    <row r="46" spans="4:14" ht="12.75" customHeight="1" x14ac:dyDescent="0.2">
      <c r="D46" s="183"/>
      <c r="E46" s="173">
        <v>0.75</v>
      </c>
      <c r="F46" s="40">
        <f>'Final Deck Calc'!F46</f>
        <v>1059.9775</v>
      </c>
      <c r="G46" s="62"/>
      <c r="H46" s="40">
        <f>'Final Deck Calc'!H46</f>
        <v>1059.9775</v>
      </c>
      <c r="I46" s="62"/>
      <c r="J46" s="64">
        <f>'Final Deck Calc'!J46</f>
        <v>1059.9775</v>
      </c>
      <c r="K46" s="62"/>
      <c r="L46" s="40">
        <f>'Final Deck Calc'!L46</f>
        <v>1059.9775</v>
      </c>
      <c r="M46" s="62"/>
      <c r="N46" s="40">
        <f>'Final Deck Calc'!N46</f>
        <v>1059.9775</v>
      </c>
    </row>
    <row r="47" spans="4:14" ht="12.75" customHeight="1" thickBot="1" x14ac:dyDescent="0.25">
      <c r="D47" s="183"/>
      <c r="E47" s="174"/>
      <c r="F47" s="65">
        <f>'Final Deck Calc'!F47+'deflection summary'!E47/12+'deflection summary'!G47/12</f>
        <v>1048.3514164894789</v>
      </c>
      <c r="G47" s="62"/>
      <c r="H47" s="63">
        <f>'Final Deck Calc'!H47+'deflection summary'!F47/12+'deflection summary'!H47/12</f>
        <v>1048.3515831561458</v>
      </c>
      <c r="I47" s="62"/>
      <c r="J47" s="65">
        <f>'Final Deck Calc'!J47+'deflection summary'!F47/12+'deflection summary'!H47/12</f>
        <v>1048.5435831561458</v>
      </c>
      <c r="K47" s="62"/>
      <c r="L47" s="63">
        <f>'Final Deck Calc'!L47+'deflection summary'!F47/12+'deflection summary'!H47/12</f>
        <v>1048.3515831561458</v>
      </c>
      <c r="M47" s="62"/>
      <c r="N47" s="65">
        <f>'Final Deck Calc'!N47+'deflection summary'!E47/12+'deflection summary'!G47/12</f>
        <v>1048.3514164894789</v>
      </c>
    </row>
    <row r="48" spans="4:14" ht="12.75" customHeight="1" x14ac:dyDescent="0.2">
      <c r="D48" s="183"/>
      <c r="E48" s="175" t="s">
        <v>73</v>
      </c>
      <c r="F48" s="40">
        <f>'Final Deck Calc'!F48</f>
        <v>1066.54</v>
      </c>
      <c r="G48" s="62"/>
      <c r="H48" s="40">
        <f>'Final Deck Calc'!H48</f>
        <v>1066.54</v>
      </c>
      <c r="I48" s="62"/>
      <c r="J48" s="64">
        <f>'Final Deck Calc'!J48</f>
        <v>1066.54</v>
      </c>
      <c r="K48" s="62"/>
      <c r="L48" s="40">
        <f>'Final Deck Calc'!L48</f>
        <v>1066.54</v>
      </c>
      <c r="M48" s="62"/>
      <c r="N48" s="40">
        <f>'Final Deck Calc'!N48</f>
        <v>1066.54</v>
      </c>
    </row>
    <row r="49" spans="4:14" ht="12.75" customHeight="1" thickBot="1" x14ac:dyDescent="0.25">
      <c r="D49" s="184"/>
      <c r="E49" s="174"/>
      <c r="F49" s="65">
        <f>'Final Deck Calc'!F49+'deflection summary'!E49/12+'deflection summary'!G49/12</f>
        <v>1048.00602994</v>
      </c>
      <c r="G49" s="74"/>
      <c r="H49" s="65">
        <f>'Final Deck Calc'!H49+'deflection summary'!F49/12+'deflection summary'!H49/12</f>
        <v>1048.00602994</v>
      </c>
      <c r="I49" s="74"/>
      <c r="J49" s="65">
        <f>'Final Deck Calc'!J49+'deflection summary'!F49/12+'deflection summary'!H49/12</f>
        <v>1048.19802994</v>
      </c>
      <c r="K49" s="74"/>
      <c r="L49" s="65">
        <f>'Final Deck Calc'!L49+'deflection summary'!F49/12+'deflection summary'!H49/12</f>
        <v>1048.00602994</v>
      </c>
      <c r="M49" s="74"/>
      <c r="N49" s="65">
        <f>'Final Deck Calc'!N49+'deflection summary'!E49/12+'deflection summary'!G49/12</f>
        <v>1048.00602994</v>
      </c>
    </row>
    <row r="50" spans="4:14" ht="12.75" customHeight="1" x14ac:dyDescent="0.2">
      <c r="D50" s="61"/>
      <c r="E50" s="59"/>
      <c r="F50" s="62"/>
      <c r="G50" s="62"/>
      <c r="H50" s="62"/>
      <c r="I50" s="62"/>
      <c r="J50" s="62"/>
      <c r="K50" s="62"/>
      <c r="L50" s="62"/>
      <c r="M50" s="62"/>
      <c r="N50" s="62"/>
    </row>
    <row r="51" spans="4:14" ht="11.25" customHeight="1" x14ac:dyDescent="0.2">
      <c r="D51" s="61"/>
      <c r="E51" s="59"/>
      <c r="F51" s="62"/>
      <c r="G51" s="62"/>
      <c r="H51" s="62"/>
      <c r="I51" s="62"/>
      <c r="J51" s="62"/>
      <c r="K51" s="62"/>
      <c r="L51" s="62"/>
      <c r="M51" s="62"/>
      <c r="N51" s="62"/>
    </row>
    <row r="52" spans="4:14" ht="24" customHeight="1" x14ac:dyDescent="0.25">
      <c r="E52" s="60" t="s">
        <v>20</v>
      </c>
      <c r="F52" s="179" t="s">
        <v>26</v>
      </c>
      <c r="G52" s="179"/>
      <c r="H52" s="179"/>
      <c r="I52" s="179"/>
      <c r="J52" s="179"/>
      <c r="K52" s="179"/>
      <c r="L52" s="179"/>
      <c r="M52" s="179"/>
      <c r="N52" s="179"/>
    </row>
    <row r="53" spans="4:14" ht="12.75" customHeight="1" x14ac:dyDescent="0.25">
      <c r="F53" s="179"/>
      <c r="G53" s="179"/>
      <c r="H53" s="179"/>
      <c r="I53" s="179"/>
      <c r="J53" s="179"/>
      <c r="K53" s="179"/>
      <c r="L53" s="179"/>
      <c r="M53" s="179"/>
      <c r="N53" s="179"/>
    </row>
    <row r="54" spans="4:14" ht="12.75" customHeight="1" x14ac:dyDescent="0.25">
      <c r="F54" s="179"/>
      <c r="G54" s="179"/>
      <c r="H54" s="179"/>
      <c r="I54" s="179"/>
      <c r="J54" s="179"/>
      <c r="K54" s="179"/>
      <c r="L54" s="179"/>
      <c r="M54" s="179"/>
      <c r="N54" s="179"/>
    </row>
    <row r="55" spans="4:14" ht="17.25" customHeight="1" x14ac:dyDescent="0.25">
      <c r="F55" s="179"/>
      <c r="G55" s="179"/>
      <c r="H55" s="179"/>
      <c r="I55" s="179"/>
      <c r="J55" s="179"/>
      <c r="K55" s="179"/>
      <c r="L55" s="179"/>
      <c r="M55" s="179"/>
      <c r="N55" s="179"/>
    </row>
    <row r="56" spans="4:14" ht="17.25" customHeight="1" x14ac:dyDescent="0.25">
      <c r="F56" s="179"/>
      <c r="G56" s="179"/>
      <c r="H56" s="179"/>
      <c r="I56" s="179"/>
      <c r="J56" s="179"/>
      <c r="K56" s="179"/>
      <c r="L56" s="179"/>
      <c r="M56" s="179"/>
      <c r="N56" s="179"/>
    </row>
  </sheetData>
  <mergeCells count="28">
    <mergeCell ref="F52:N56"/>
    <mergeCell ref="E38:E39"/>
    <mergeCell ref="D14:D39"/>
    <mergeCell ref="D2:N2"/>
    <mergeCell ref="E14:E15"/>
    <mergeCell ref="E16:E17"/>
    <mergeCell ref="E28:E29"/>
    <mergeCell ref="E32:E33"/>
    <mergeCell ref="E24:E25"/>
    <mergeCell ref="E26:E27"/>
    <mergeCell ref="E18:E19"/>
    <mergeCell ref="E20:E21"/>
    <mergeCell ref="E34:E35"/>
    <mergeCell ref="E36:E37"/>
    <mergeCell ref="E12:E13"/>
    <mergeCell ref="D4:D13"/>
    <mergeCell ref="E40:E41"/>
    <mergeCell ref="E42:E43"/>
    <mergeCell ref="E44:E45"/>
    <mergeCell ref="E46:E47"/>
    <mergeCell ref="D40:D49"/>
    <mergeCell ref="E48:E49"/>
    <mergeCell ref="E22:E23"/>
    <mergeCell ref="E30:E31"/>
    <mergeCell ref="E4:E5"/>
    <mergeCell ref="E6:E7"/>
    <mergeCell ref="E8:E9"/>
    <mergeCell ref="E10:E11"/>
  </mergeCells>
  <printOptions horizontalCentered="1" verticalCentered="1"/>
  <pageMargins left="0.75" right="0.75" top="0.75" bottom="0.75" header="0.5" footer="0.5"/>
  <pageSetup scale="96" orientation="portrait" r:id="rId1"/>
  <headerFooter alignWithMargins="0">
    <oddHeader xml:space="preserve">&amp;CCalculated by AMT&amp;R4/2/19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deflection summary</vt:lpstr>
      <vt:lpstr>Defl and Camber Table</vt:lpstr>
      <vt:lpstr>defl and camber autotable</vt:lpstr>
      <vt:lpstr>Final Deck autoTable</vt:lpstr>
      <vt:lpstr>Final Deck Calc</vt:lpstr>
      <vt:lpstr>Seats and Variable HP</vt:lpstr>
      <vt:lpstr>Top of Haunch Table</vt:lpstr>
      <vt:lpstr>Screed Table</vt:lpstr>
      <vt:lpstr>'Final Deck autoTable'!Print_Area</vt:lpstr>
      <vt:lpstr>'Final Deck Calc'!Print_Area</vt:lpstr>
      <vt:lpstr>'Screed Table'!Print_Area</vt:lpstr>
      <vt:lpstr>'Top of Haunch Table'!Print_Area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Tremblay</dc:creator>
  <cp:lastModifiedBy>Joseph Mellman</cp:lastModifiedBy>
  <cp:lastPrinted>2023-02-01T16:57:51Z</cp:lastPrinted>
  <dcterms:created xsi:type="dcterms:W3CDTF">2014-12-01T14:36:11Z</dcterms:created>
  <dcterms:modified xsi:type="dcterms:W3CDTF">2024-01-30T21:42:33Z</dcterms:modified>
</cp:coreProperties>
</file>